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BILANS\CFM - BILAN 2023\"/>
    </mc:Choice>
  </mc:AlternateContent>
  <xr:revisionPtr revIDLastSave="0" documentId="13_ncr:1_{BA9C1FC9-294F-4D04-92B2-96546B8944A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VAE 31.12.2023" sheetId="10" r:id="rId1"/>
    <sheet name="CVAE 30.09.2023" sheetId="9" r:id="rId2"/>
    <sheet name="CVAE 30.06.2023" sheetId="8" r:id="rId3"/>
    <sheet name="CVAE 31.03.2023" sheetId="7" r:id="rId4"/>
    <sheet name="CVAE 2022 APRES AUDIT" sheetId="6" r:id="rId5"/>
    <sheet name="CVAE 2022 AVANT AUDIT" sheetId="3" r:id="rId6"/>
    <sheet name="CVAE 2022 ESTIMATION" sheetId="5" r:id="rId7"/>
    <sheet name="CVAE 2021" sheetId="4" r:id="rId8"/>
  </sheets>
  <definedNames>
    <definedName name="_xlnm.Print_Area" localSheetId="7">'CVAE 2021'!$A$2:$G$56</definedName>
    <definedName name="_xlnm.Print_Area" localSheetId="4">'CVAE 2022 APRES AUDIT'!$A$1:$G$57</definedName>
    <definedName name="_xlnm.Print_Area" localSheetId="5">'CVAE 2022 AVANT AUDIT'!$A$2:$G$57</definedName>
    <definedName name="_xlnm.Print_Area" localSheetId="6">'CVAE 2022 ESTIMATION'!$A$2:$G$56</definedName>
    <definedName name="_xlnm.Print_Area" localSheetId="2">'CVAE 30.06.2023'!$A$1:$G$58</definedName>
    <definedName name="_xlnm.Print_Area" localSheetId="1">'CVAE 30.09.2023'!$A$1:$G$58</definedName>
    <definedName name="_xlnm.Print_Area" localSheetId="3">'CVAE 31.03.2023'!$A$1:$G$58</definedName>
    <definedName name="_xlnm.Print_Area" localSheetId="0">'CVAE 31.12.2023'!$A$1:$H$58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10" l="1"/>
  <c r="C31" i="10" s="1"/>
  <c r="I4" i="10"/>
  <c r="G14" i="10"/>
  <c r="G17" i="10" s="1"/>
  <c r="E9" i="10"/>
  <c r="C7" i="10"/>
  <c r="C6" i="10"/>
  <c r="I20" i="10"/>
  <c r="C27" i="10"/>
  <c r="E23" i="10"/>
  <c r="C22" i="10" s="1"/>
  <c r="C47" i="10"/>
  <c r="C45" i="10"/>
  <c r="C44" i="10"/>
  <c r="H4" i="9"/>
  <c r="C7" i="9"/>
  <c r="C6" i="9"/>
  <c r="H20" i="9"/>
  <c r="C31" i="9"/>
  <c r="C18" i="10" l="1"/>
  <c r="D4" i="10"/>
  <c r="D30" i="10" s="1"/>
  <c r="D20" i="10"/>
  <c r="E26" i="10"/>
  <c r="C51" i="10"/>
  <c r="C52" i="10"/>
  <c r="E9" i="9"/>
  <c r="E23" i="9"/>
  <c r="C22" i="9" s="1"/>
  <c r="C27" i="9"/>
  <c r="C47" i="9"/>
  <c r="C46" i="9"/>
  <c r="C45" i="9"/>
  <c r="C44" i="9"/>
  <c r="G17" i="9"/>
  <c r="H4" i="8"/>
  <c r="H20" i="8"/>
  <c r="C27" i="8"/>
  <c r="G17" i="8"/>
  <c r="C18" i="8" s="1"/>
  <c r="D4" i="8" s="1"/>
  <c r="C7" i="8"/>
  <c r="E23" i="8"/>
  <c r="C22" i="8" s="1"/>
  <c r="C47" i="8"/>
  <c r="C46" i="8"/>
  <c r="C31" i="8" s="1"/>
  <c r="C45" i="8"/>
  <c r="C44" i="8"/>
  <c r="C6" i="8"/>
  <c r="C51" i="8" s="1"/>
  <c r="H20" i="7"/>
  <c r="H4" i="7"/>
  <c r="C31" i="7"/>
  <c r="C6" i="7"/>
  <c r="C7" i="7" s="1"/>
  <c r="C27" i="7"/>
  <c r="C22" i="7"/>
  <c r="E23" i="7"/>
  <c r="C47" i="7"/>
  <c r="C46" i="7"/>
  <c r="C45" i="7"/>
  <c r="C44" i="7"/>
  <c r="I5" i="10" l="1"/>
  <c r="I21" i="10"/>
  <c r="D56" i="10"/>
  <c r="D52" i="10"/>
  <c r="D51" i="10"/>
  <c r="D56" i="9"/>
  <c r="C51" i="9"/>
  <c r="D20" i="9"/>
  <c r="H21" i="9" s="1"/>
  <c r="E26" i="9"/>
  <c r="C18" i="9"/>
  <c r="D4" i="9" s="1"/>
  <c r="H5" i="9" s="1"/>
  <c r="C52" i="9"/>
  <c r="H5" i="8"/>
  <c r="D20" i="8"/>
  <c r="E26" i="8"/>
  <c r="C52" i="8"/>
  <c r="E9" i="8"/>
  <c r="C30" i="3"/>
  <c r="G14" i="3"/>
  <c r="D53" i="10" l="1"/>
  <c r="D57" i="10"/>
  <c r="D58" i="10" s="1"/>
  <c r="E58" i="10" s="1"/>
  <c r="D30" i="9"/>
  <c r="D56" i="8"/>
  <c r="H21" i="8"/>
  <c r="D30" i="8"/>
  <c r="G17" i="7"/>
  <c r="D20" i="7"/>
  <c r="H21" i="7" s="1"/>
  <c r="E26" i="7"/>
  <c r="C46" i="6"/>
  <c r="C26" i="6"/>
  <c r="E22" i="6"/>
  <c r="C21" i="6" s="1"/>
  <c r="D19" i="6" s="1"/>
  <c r="G14" i="6"/>
  <c r="G12" i="6"/>
  <c r="G16" i="6" s="1"/>
  <c r="C10" i="6"/>
  <c r="C6" i="6"/>
  <c r="D33" i="10" l="1"/>
  <c r="D34" i="10" s="1"/>
  <c r="D35" i="10" s="1"/>
  <c r="D36" i="10" s="1"/>
  <c r="D52" i="9"/>
  <c r="D51" i="9"/>
  <c r="D52" i="8"/>
  <c r="D51" i="8"/>
  <c r="C18" i="7"/>
  <c r="D4" i="7" s="1"/>
  <c r="E9" i="7"/>
  <c r="C52" i="7"/>
  <c r="C51" i="7"/>
  <c r="D4" i="6"/>
  <c r="D29" i="6" s="1"/>
  <c r="C7" i="6"/>
  <c r="H19" i="6"/>
  <c r="H20" i="6" s="1"/>
  <c r="C51" i="6"/>
  <c r="E9" i="6"/>
  <c r="H4" i="6"/>
  <c r="C17" i="6"/>
  <c r="C50" i="6"/>
  <c r="E25" i="6"/>
  <c r="C29" i="4"/>
  <c r="C26" i="3"/>
  <c r="H19" i="3"/>
  <c r="D40" i="10" l="1"/>
  <c r="B40" i="10"/>
  <c r="D53" i="9"/>
  <c r="D33" i="9" s="1"/>
  <c r="D57" i="9"/>
  <c r="D58" i="9" s="1"/>
  <c r="E58" i="9" s="1"/>
  <c r="D53" i="8"/>
  <c r="D33" i="8" s="1"/>
  <c r="D57" i="8"/>
  <c r="D58" i="8" s="1"/>
  <c r="E58" i="8" s="1"/>
  <c r="D30" i="7"/>
  <c r="H5" i="7"/>
  <c r="D56" i="7"/>
  <c r="D55" i="6"/>
  <c r="C44" i="6"/>
  <c r="C30" i="6" s="1"/>
  <c r="C43" i="6"/>
  <c r="C45" i="6"/>
  <c r="H5" i="6"/>
  <c r="C11" i="3"/>
  <c r="G12" i="3"/>
  <c r="D34" i="9" l="1"/>
  <c r="D35" i="9" s="1"/>
  <c r="D36" i="9" s="1"/>
  <c r="D34" i="8"/>
  <c r="D35" i="8" s="1"/>
  <c r="D52" i="7"/>
  <c r="D51" i="7"/>
  <c r="D51" i="6"/>
  <c r="D50" i="6"/>
  <c r="C7" i="3"/>
  <c r="C8" i="3" s="1"/>
  <c r="E22" i="3"/>
  <c r="C21" i="3"/>
  <c r="C7" i="5"/>
  <c r="K11" i="5"/>
  <c r="C9" i="5"/>
  <c r="K10" i="5"/>
  <c r="K22" i="5"/>
  <c r="C25" i="5"/>
  <c r="C20" i="5"/>
  <c r="K21" i="5"/>
  <c r="L8" i="5"/>
  <c r="G10" i="5"/>
  <c r="G11" i="5"/>
  <c r="G16" i="5"/>
  <c r="K24" i="5"/>
  <c r="B40" i="9" l="1"/>
  <c r="D40" i="9"/>
  <c r="D36" i="8"/>
  <c r="D53" i="7"/>
  <c r="D33" i="7" s="1"/>
  <c r="D57" i="7"/>
  <c r="D58" i="7" s="1"/>
  <c r="E58" i="7" s="1"/>
  <c r="D52" i="6"/>
  <c r="D32" i="6" s="1"/>
  <c r="D56" i="6"/>
  <c r="D57" i="6" s="1"/>
  <c r="E57" i="6" s="1"/>
  <c r="G16" i="3"/>
  <c r="H5" i="3" s="1"/>
  <c r="L7" i="5"/>
  <c r="L6" i="5"/>
  <c r="K19" i="5"/>
  <c r="K12" i="5"/>
  <c r="K18" i="5"/>
  <c r="K27" i="5" s="1"/>
  <c r="C19" i="5" s="1"/>
  <c r="L23" i="5"/>
  <c r="L20" i="5"/>
  <c r="L19" i="5"/>
  <c r="L27" i="5" s="1"/>
  <c r="L10" i="5"/>
  <c r="C12" i="5"/>
  <c r="B40" i="8" l="1"/>
  <c r="D40" i="8"/>
  <c r="D34" i="7"/>
  <c r="D35" i="7" s="1"/>
  <c r="D36" i="7" s="1"/>
  <c r="D33" i="6"/>
  <c r="D34" i="6" s="1"/>
  <c r="L12" i="5"/>
  <c r="D18" i="5"/>
  <c r="M27" i="5" s="1"/>
  <c r="C45" i="5"/>
  <c r="C50" i="4"/>
  <c r="C45" i="4"/>
  <c r="C25" i="4"/>
  <c r="C23" i="4"/>
  <c r="E24" i="4" s="1"/>
  <c r="E21" i="4"/>
  <c r="H18" i="4" s="1"/>
  <c r="C20" i="4"/>
  <c r="D18" i="4" s="1"/>
  <c r="H19" i="4" s="1"/>
  <c r="G16" i="4"/>
  <c r="H5" i="4" s="1"/>
  <c r="C16" i="4"/>
  <c r="C15" i="4"/>
  <c r="E10" i="4" s="1"/>
  <c r="C8" i="4"/>
  <c r="C7" i="4"/>
  <c r="C49" i="4" s="1"/>
  <c r="D40" i="7" l="1"/>
  <c r="B40" i="7"/>
  <c r="D35" i="6"/>
  <c r="D39" i="6" s="1"/>
  <c r="C49" i="5"/>
  <c r="E10" i="5"/>
  <c r="E24" i="5"/>
  <c r="C50" i="5"/>
  <c r="C16" i="5"/>
  <c r="D5" i="5" s="1"/>
  <c r="M12" i="5" s="1"/>
  <c r="C44" i="4"/>
  <c r="D54" i="4"/>
  <c r="C43" i="4"/>
  <c r="C42" i="4"/>
  <c r="D5" i="4"/>
  <c r="B39" i="6" l="1"/>
  <c r="D28" i="5"/>
  <c r="C44" i="5"/>
  <c r="C29" i="5" s="1"/>
  <c r="C43" i="5"/>
  <c r="C42" i="5"/>
  <c r="H6" i="4"/>
  <c r="D28" i="4"/>
  <c r="D50" i="5" l="1"/>
  <c r="D49" i="5"/>
  <c r="D50" i="4"/>
  <c r="D49" i="4"/>
  <c r="D55" i="5" l="1"/>
  <c r="D51" i="5"/>
  <c r="D31" i="5" s="1"/>
  <c r="D54" i="5"/>
  <c r="D51" i="4"/>
  <c r="D31" i="4" s="1"/>
  <c r="D55" i="4"/>
  <c r="D56" i="4" s="1"/>
  <c r="E56" i="4" s="1"/>
  <c r="E10" i="3"/>
  <c r="C46" i="3"/>
  <c r="D56" i="5" l="1"/>
  <c r="E56" i="5" s="1"/>
  <c r="D32" i="5"/>
  <c r="D32" i="4"/>
  <c r="D33" i="4" s="1"/>
  <c r="C45" i="3"/>
  <c r="D19" i="3"/>
  <c r="E25" i="3"/>
  <c r="C17" i="3"/>
  <c r="D5" i="3" s="1"/>
  <c r="C51" i="3"/>
  <c r="C50" i="3"/>
  <c r="C43" i="3"/>
  <c r="C44" i="3"/>
  <c r="D33" i="5" l="1"/>
  <c r="D34" i="5" s="1"/>
  <c r="D29" i="3"/>
  <c r="D50" i="3" s="1"/>
  <c r="D34" i="4"/>
  <c r="H6" i="3"/>
  <c r="H20" i="3"/>
  <c r="D38" i="5" l="1"/>
  <c r="B38" i="5"/>
  <c r="D51" i="3"/>
  <c r="D56" i="3" s="1"/>
  <c r="D38" i="4"/>
  <c r="B38" i="4"/>
  <c r="D52" i="3" l="1"/>
  <c r="D32" i="3" s="1"/>
  <c r="D33" i="3" s="1"/>
  <c r="D34" i="3" s="1"/>
  <c r="D35" i="3" s="1"/>
  <c r="D39" i="3" s="1"/>
  <c r="D55" i="3"/>
  <c r="D57" i="3" s="1"/>
  <c r="E57" i="3" s="1"/>
  <c r="B39" i="3" l="1"/>
</calcChain>
</file>

<file path=xl/sharedStrings.xml><?xml version="1.0" encoding="utf-8"?>
<sst xmlns="http://schemas.openxmlformats.org/spreadsheetml/2006/main" count="568" uniqueCount="107">
  <si>
    <t>LA TAXE EST DUE SI LE CA &gt; 152 500 €</t>
  </si>
  <si>
    <t>BALANCE GENERALE</t>
  </si>
  <si>
    <t>REGLEMENTATION FISCALE</t>
  </si>
  <si>
    <t>PRODUITS (A)</t>
  </si>
  <si>
    <t>PRESTATIONS</t>
  </si>
  <si>
    <t>RECETTES "PRODUCTION"</t>
  </si>
  <si>
    <t>RECETTES "DISTRIBUTION"</t>
  </si>
  <si>
    <t>REFACTURATIONS DIVERSES</t>
  </si>
  <si>
    <t>TOTAL DU CA</t>
  </si>
  <si>
    <t>AUTRES DROITS - SOFICA</t>
  </si>
  <si>
    <t>PRODUITS DIVERS GESTION COURANTE</t>
  </si>
  <si>
    <t>TRANSFERT DE CHARGES</t>
  </si>
  <si>
    <t>AUTRES</t>
  </si>
  <si>
    <t>CHARGES (B)</t>
  </si>
  <si>
    <t>ACHATS</t>
  </si>
  <si>
    <t>SERVICES EXTERIEURS</t>
  </si>
  <si>
    <t>LOCATIONS IMMOBILIERES &gt; 6 MOIS</t>
  </si>
  <si>
    <t>LOCATIONS DE VOITURES &gt; 6 MOIS</t>
  </si>
  <si>
    <t>AUTRES SERVICES EXTERIEURS</t>
  </si>
  <si>
    <t>TOTAL DES ACHATS/CHARGES EXTERNES</t>
  </si>
  <si>
    <t>AUTRES CHARGES</t>
  </si>
  <si>
    <t>CHARGES DE COPRODUCTION</t>
  </si>
  <si>
    <t>VALEUR AJOUTEE PRODUITE (A - B)</t>
  </si>
  <si>
    <t>TAUX A APPLIQUER (*)</t>
  </si>
  <si>
    <t>CVAE CALCULEE</t>
  </si>
  <si>
    <t xml:space="preserve">Si CA de référence &lt; </t>
  </si>
  <si>
    <t>TAXE ADDITIONNELLE</t>
  </si>
  <si>
    <t xml:space="preserve">FRAIS DE GESTION </t>
  </si>
  <si>
    <t>CVAE DUE</t>
  </si>
  <si>
    <t xml:space="preserve">(*) </t>
  </si>
  <si>
    <t>Si CA</t>
  </si>
  <si>
    <t>TAUX</t>
  </si>
  <si>
    <t>&lt; 500.000 €</t>
  </si>
  <si>
    <t>500.000 € &lt; CA &lt; 3.000.000 €</t>
  </si>
  <si>
    <t>3.000.000 € &lt; CA &lt; 10.000.000 €</t>
  </si>
  <si>
    <t>10.000.000 € &lt; CA &lt; 50.000.000 €</t>
  </si>
  <si>
    <t>&gt; 50.000.000 €</t>
  </si>
  <si>
    <t>LIMITATION DE LA VALEUR AJOUTEE</t>
  </si>
  <si>
    <t>BASE</t>
  </si>
  <si>
    <t>CVAE BRUTE</t>
  </si>
  <si>
    <t>&lt;= 7.600.000 €</t>
  </si>
  <si>
    <t>&gt; 7.600.000 €</t>
  </si>
  <si>
    <t>Si CA DE REFERENCE</t>
  </si>
  <si>
    <t>&lt; 2.000.000 €</t>
  </si>
  <si>
    <t>&gt;= 2.000.000 €</t>
  </si>
  <si>
    <t>APPORT FRANCE 2</t>
  </si>
  <si>
    <t>SUBVENTIONS</t>
  </si>
  <si>
    <t>PRODUITS CESSIONS IMMO. INCORP.</t>
  </si>
  <si>
    <t>PROVISION FAITE EN 2020</t>
  </si>
  <si>
    <t>APPORT NJJ</t>
  </si>
  <si>
    <t>BAC</t>
  </si>
  <si>
    <t>ECHAPPEE</t>
  </si>
  <si>
    <t>Loyer et charges locatives du siège</t>
  </si>
  <si>
    <t>BILAN 2021</t>
  </si>
  <si>
    <t>Contrôle BG</t>
  </si>
  <si>
    <t>APPORT GAUMONT</t>
  </si>
  <si>
    <t>FUMER</t>
  </si>
  <si>
    <t>APPORT RECIFILMS</t>
  </si>
  <si>
    <t>NOVEMBRE</t>
  </si>
  <si>
    <t>BILAN 2022</t>
  </si>
  <si>
    <t>Crédit-bail + loyer et charges locatives du siège</t>
  </si>
  <si>
    <t>BILAN 2022 - ESTIMATION</t>
  </si>
  <si>
    <t>SIEGE</t>
  </si>
  <si>
    <t>LOUP</t>
  </si>
  <si>
    <t>TONI</t>
  </si>
  <si>
    <t>ZAD TV</t>
  </si>
  <si>
    <t>BAC RNPP</t>
  </si>
  <si>
    <t>VERDE</t>
  </si>
  <si>
    <t>Prépas fin 2022</t>
  </si>
  <si>
    <t>RICHES</t>
  </si>
  <si>
    <t>Tournage fin 2022</t>
  </si>
  <si>
    <t>Budget 2022</t>
  </si>
  <si>
    <t>Situation au 25/04/2022</t>
  </si>
  <si>
    <t>PRODUITS</t>
  </si>
  <si>
    <t>APPORTS</t>
  </si>
  <si>
    <t>CHARGES</t>
  </si>
  <si>
    <t>RP/FG déduction faite des dépenses de CFM</t>
  </si>
  <si>
    <t>Dont les frais refacturés au 31/03/2022</t>
  </si>
  <si>
    <t>APPORT France 3</t>
  </si>
  <si>
    <t>APPORT Gaumont</t>
  </si>
  <si>
    <t>APPORT Récifilms</t>
  </si>
  <si>
    <t>APPORT Studiocanal</t>
  </si>
  <si>
    <t>Situation au 15/04/2022</t>
  </si>
  <si>
    <t>Devis AI (100%)</t>
  </si>
  <si>
    <t>FG + Coût (100%)</t>
  </si>
  <si>
    <t>Coût (100%)</t>
  </si>
  <si>
    <t>PRODUITS CESSIONS IMMO.</t>
  </si>
  <si>
    <t>APPORT TRESOR</t>
  </si>
  <si>
    <t>AMOUR</t>
  </si>
  <si>
    <t>APPORT PITCHIPOI</t>
  </si>
  <si>
    <t>APPORT STUDIOCANAL</t>
  </si>
  <si>
    <t>PRODUCTIONS STOCKEES - 100%</t>
  </si>
  <si>
    <t>SUBVENTIONS CNC</t>
  </si>
  <si>
    <t>SUBVENTIONS REGIONS</t>
  </si>
  <si>
    <t>PROVISION FAITE EN 2021</t>
  </si>
  <si>
    <t>BILAN 2023</t>
  </si>
  <si>
    <t>PROVISION FAITE EN 2022</t>
  </si>
  <si>
    <t>DBVENTIONS D'EXPLOITATION</t>
  </si>
  <si>
    <t>APPORT FRANCE 3</t>
  </si>
  <si>
    <t>PREV. 2023</t>
  </si>
  <si>
    <t>AUTRES DROITS &amp; SOFICA</t>
  </si>
  <si>
    <t>ARCTIC</t>
  </si>
  <si>
    <t>APPORT VIXENS</t>
  </si>
  <si>
    <t>CHAINES</t>
  </si>
  <si>
    <t>PM : 630.724 Marge AMOUR (en 2024)</t>
  </si>
  <si>
    <t>REEL 2023</t>
  </si>
  <si>
    <t>PROVISION FAITE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</si>
</sst>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2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indexed="8"/>
      <name val="Times New Roman"/>
      <family val="1"/>
    </font>
    <font>
      <sz val="8"/>
      <color theme="1"/>
      <name val="Times New Roman"/>
      <family val="1"/>
    </font>
    <font>
      <b/>
      <sz val="5"/>
      <color indexed="8"/>
      <name val="Times New Roman"/>
      <family val="1"/>
    </font>
    <font>
      <sz val="8"/>
      <name val="Times New Roman"/>
      <family val="1"/>
    </font>
    <font>
      <sz val="11"/>
      <color indexed="8"/>
      <name val="Calibri"/>
      <family val="2"/>
    </font>
    <font>
      <sz val="8"/>
      <color indexed="8"/>
      <name val="Times New Roman"/>
      <family val="1"/>
    </font>
    <font>
      <b/>
      <sz val="8"/>
      <color theme="1"/>
      <name val="Times New Roman"/>
      <family val="1"/>
    </font>
    <font>
      <b/>
      <sz val="12"/>
      <color theme="1"/>
      <name val="Times New Roman"/>
      <family val="1"/>
    </font>
    <font>
      <i/>
      <sz val="8"/>
      <color theme="1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9" fontId="24" fillId="0" borderId="0" applyFont="0" applyFill="0" applyBorder="0" applyAlignment="0" applyProtection="0"/>
    <xf numFmtId="0" fontId="2" fillId="0" borderId="0"/>
    <xf numFmtId="0" fontId="1" fillId="0" borderId="0"/>
  </cellStyleXfs>
  <cellXfs count="60">
    <xf numFmtId="0" fontId="0" fillId="0" borderId="0" xfId="0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3" fontId="21" fillId="0" borderId="0" xfId="0" applyNumberFormat="1" applyFont="1" applyAlignment="1">
      <alignment vertical="center"/>
    </xf>
    <xf numFmtId="3" fontId="21" fillId="0" borderId="1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10" fontId="21" fillId="0" borderId="14" xfId="42" applyNumberFormat="1" applyFont="1" applyBorder="1" applyAlignment="1">
      <alignment vertical="center"/>
    </xf>
    <xf numFmtId="10" fontId="25" fillId="0" borderId="14" xfId="42" applyNumberFormat="1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10" fontId="25" fillId="0" borderId="15" xfId="42" applyNumberFormat="1" applyFont="1" applyBorder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25" fillId="0" borderId="15" xfId="42" applyNumberFormat="1" applyFont="1" applyBorder="1" applyAlignment="1">
      <alignment horizontal="right" vertical="center"/>
    </xf>
    <xf numFmtId="9" fontId="25" fillId="0" borderId="15" xfId="42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10" fontId="25" fillId="0" borderId="0" xfId="42" applyNumberFormat="1" applyFont="1" applyBorder="1" applyAlignment="1">
      <alignment vertical="center"/>
    </xf>
    <xf numFmtId="3" fontId="25" fillId="0" borderId="0" xfId="0" applyNumberFormat="1" applyFont="1" applyAlignment="1">
      <alignment vertical="center"/>
    </xf>
    <xf numFmtId="0" fontId="25" fillId="0" borderId="0" xfId="0" applyFont="1" applyAlignment="1">
      <alignment horizontal="right" vertical="center"/>
    </xf>
    <xf numFmtId="0" fontId="21" fillId="0" borderId="15" xfId="0" applyFont="1" applyBorder="1" applyAlignment="1">
      <alignment vertical="center"/>
    </xf>
    <xf numFmtId="3" fontId="21" fillId="0" borderId="15" xfId="0" applyNumberFormat="1" applyFont="1" applyBorder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10" fontId="21" fillId="0" borderId="15" xfId="42" applyNumberFormat="1" applyFont="1" applyFill="1" applyBorder="1" applyAlignment="1">
      <alignment vertical="center"/>
    </xf>
    <xf numFmtId="0" fontId="21" fillId="33" borderId="15" xfId="0" applyFont="1" applyFill="1" applyBorder="1" applyAlignment="1">
      <alignment vertical="center"/>
    </xf>
    <xf numFmtId="10" fontId="21" fillId="33" borderId="15" xfId="42" applyNumberFormat="1" applyFont="1" applyFill="1" applyBorder="1" applyAlignment="1">
      <alignment vertical="center"/>
    </xf>
    <xf numFmtId="4" fontId="21" fillId="0" borderId="0" xfId="0" applyNumberFormat="1" applyFont="1" applyAlignment="1">
      <alignment vertical="center"/>
    </xf>
    <xf numFmtId="10" fontId="21" fillId="0" borderId="15" xfId="42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1" fillId="0" borderId="15" xfId="0" applyNumberFormat="1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3" fontId="21" fillId="0" borderId="13" xfId="0" applyNumberFormat="1" applyFont="1" applyBorder="1" applyAlignment="1">
      <alignment vertical="center"/>
    </xf>
    <xf numFmtId="3" fontId="21" fillId="34" borderId="15" xfId="0" applyNumberFormat="1" applyFont="1" applyFill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3" fontId="21" fillId="35" borderId="0" xfId="0" applyNumberFormat="1" applyFont="1" applyFill="1" applyAlignment="1">
      <alignment vertical="center"/>
    </xf>
    <xf numFmtId="3" fontId="21" fillId="35" borderId="14" xfId="0" applyNumberFormat="1" applyFont="1" applyFill="1" applyBorder="1" applyAlignment="1">
      <alignment vertical="center"/>
    </xf>
    <xf numFmtId="3" fontId="21" fillId="33" borderId="14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3" fontId="21" fillId="33" borderId="13" xfId="0" applyNumberFormat="1" applyFont="1" applyFill="1" applyBorder="1" applyAlignment="1">
      <alignment vertical="center"/>
    </xf>
    <xf numFmtId="3" fontId="20" fillId="0" borderId="17" xfId="0" applyNumberFormat="1" applyFont="1" applyBorder="1" applyAlignment="1">
      <alignment horizontal="center" vertical="center" wrapText="1"/>
    </xf>
    <xf numFmtId="3" fontId="22" fillId="0" borderId="17" xfId="0" applyNumberFormat="1" applyFont="1" applyBorder="1" applyAlignment="1">
      <alignment horizontal="center" vertical="center" wrapText="1"/>
    </xf>
    <xf numFmtId="0" fontId="21" fillId="0" borderId="18" xfId="0" applyFont="1" applyBorder="1" applyAlignment="1">
      <alignment vertical="center"/>
    </xf>
    <xf numFmtId="0" fontId="21" fillId="0" borderId="19" xfId="0" applyFont="1" applyBorder="1" applyAlignment="1">
      <alignment vertical="center"/>
    </xf>
    <xf numFmtId="3" fontId="21" fillId="0" borderId="17" xfId="0" applyNumberFormat="1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3" fontId="20" fillId="0" borderId="14" xfId="0" applyNumberFormat="1" applyFont="1" applyBorder="1" applyAlignment="1">
      <alignment vertical="center"/>
    </xf>
    <xf numFmtId="0" fontId="21" fillId="0" borderId="16" xfId="0" applyFont="1" applyBorder="1" applyAlignment="1">
      <alignment vertical="center"/>
    </xf>
    <xf numFmtId="3" fontId="20" fillId="0" borderId="14" xfId="0" applyNumberFormat="1" applyFont="1" applyBorder="1" applyAlignment="1">
      <alignment horizontal="right" vertical="center"/>
    </xf>
    <xf numFmtId="0" fontId="20" fillId="0" borderId="20" xfId="0" applyFont="1" applyBorder="1" applyAlignment="1">
      <alignment vertical="center"/>
    </xf>
    <xf numFmtId="10" fontId="25" fillId="0" borderId="21" xfId="42" applyNumberFormat="1" applyFont="1" applyBorder="1" applyAlignment="1">
      <alignment vertical="center"/>
    </xf>
    <xf numFmtId="3" fontId="20" fillId="0" borderId="22" xfId="0" applyNumberFormat="1" applyFont="1" applyBorder="1" applyAlignment="1">
      <alignment vertical="center"/>
    </xf>
    <xf numFmtId="3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6" fillId="0" borderId="0" xfId="0" applyFont="1" applyAlignment="1">
      <alignment horizontal="right" vertical="center"/>
    </xf>
    <xf numFmtId="3" fontId="26" fillId="0" borderId="0" xfId="0" applyNumberFormat="1" applyFont="1" applyAlignment="1">
      <alignment vertical="center"/>
    </xf>
    <xf numFmtId="3" fontId="21" fillId="0" borderId="10" xfId="0" applyNumberFormat="1" applyFont="1" applyBorder="1" applyAlignment="1">
      <alignment vertical="center"/>
    </xf>
    <xf numFmtId="0" fontId="21" fillId="36" borderId="15" xfId="0" applyFont="1" applyFill="1" applyBorder="1" applyAlignment="1">
      <alignment vertical="center"/>
    </xf>
    <xf numFmtId="10" fontId="21" fillId="36" borderId="15" xfId="42" applyNumberFormat="1" applyFont="1" applyFill="1" applyBorder="1" applyAlignment="1">
      <alignment vertical="center"/>
    </xf>
    <xf numFmtId="10" fontId="21" fillId="36" borderId="14" xfId="42" applyNumberFormat="1" applyFont="1" applyFill="1" applyBorder="1" applyAlignment="1">
      <alignment vertical="center"/>
    </xf>
    <xf numFmtId="3" fontId="21" fillId="0" borderId="11" xfId="0" applyNumberFormat="1" applyFont="1" applyBorder="1" applyAlignment="1">
      <alignment horizontal="center" vertical="center"/>
    </xf>
    <xf numFmtId="3" fontId="21" fillId="0" borderId="13" xfId="0" applyNumberFormat="1" applyFont="1" applyBorder="1" applyAlignment="1">
      <alignment horizontal="center" vertical="center"/>
    </xf>
  </cellXfs>
  <cellStyles count="45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rmal 2" xfId="43" xr:uid="{849AF1D7-38CA-4DD5-9F3D-272800045091}"/>
    <cellStyle name="Normal 3" xfId="44" xr:uid="{A9EF8D0B-321E-4815-87D1-2014122B7B20}"/>
    <cellStyle name="Note" xfId="15" builtinId="10" customBuiltin="1"/>
    <cellStyle name="Pourcentage 2" xfId="42" xr:uid="{3EC28999-139C-4A64-9AC9-756D0FB666CB}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52107-8A87-40CE-91CC-DF3D0CA15BA8}">
  <dimension ref="A1:J58"/>
  <sheetViews>
    <sheetView tabSelected="1" topLeftCell="A30" zoomScale="110" zoomScaleNormal="110" workbookViewId="0">
      <selection activeCell="D35" sqref="D35"/>
    </sheetView>
  </sheetViews>
  <sheetFormatPr baseColWidth="10" defaultColWidth="11.5546875" defaultRowHeight="13.2" customHeight="1" x14ac:dyDescent="0.3"/>
  <cols>
    <col min="1" max="1" width="3.6640625" style="2" customWidth="1"/>
    <col min="2" max="2" width="28.6640625" style="2" customWidth="1"/>
    <col min="3" max="4" width="9.6640625" style="3" customWidth="1"/>
    <col min="5" max="5" width="9.6640625" style="2" customWidth="1"/>
    <col min="6" max="6" width="18.44140625" style="2" customWidth="1"/>
    <col min="7" max="7" width="8.6640625" style="2" customWidth="1"/>
    <col min="8" max="8" width="7.44140625" style="2" bestFit="1" customWidth="1"/>
    <col min="9" max="16384" width="11.5546875" style="2"/>
  </cols>
  <sheetData>
    <row r="1" spans="1:10" ht="13.2" customHeight="1" x14ac:dyDescent="0.3">
      <c r="A1" s="36" t="s">
        <v>95</v>
      </c>
    </row>
    <row r="2" spans="1:10" ht="25.95" customHeight="1" x14ac:dyDescent="0.3">
      <c r="A2" s="1" t="s">
        <v>0</v>
      </c>
      <c r="C2" s="38" t="s">
        <v>1</v>
      </c>
      <c r="D2" s="39" t="s">
        <v>2</v>
      </c>
    </row>
    <row r="3" spans="1:10" ht="13.2" customHeight="1" x14ac:dyDescent="0.3">
      <c r="A3" s="40"/>
      <c r="B3" s="41"/>
      <c r="C3" s="42"/>
      <c r="D3" s="42"/>
      <c r="G3" s="32"/>
    </row>
    <row r="4" spans="1:10" ht="13.2" customHeight="1" x14ac:dyDescent="0.3">
      <c r="A4" s="43" t="s">
        <v>3</v>
      </c>
      <c r="B4" s="1"/>
      <c r="C4" s="4"/>
      <c r="D4" s="44">
        <f>SUM(C5:C19)</f>
        <v>18279328.380000003</v>
      </c>
      <c r="E4" s="3"/>
      <c r="G4" s="3"/>
      <c r="I4" s="50">
        <f>+G17+40729330.19-24589024.24-13484.02-16665</f>
        <v>18279328.380000003</v>
      </c>
      <c r="J4" s="51" t="s">
        <v>54</v>
      </c>
    </row>
    <row r="5" spans="1:10" ht="13.2" customHeight="1" x14ac:dyDescent="0.3">
      <c r="A5" s="45">
        <v>706</v>
      </c>
      <c r="B5" s="2" t="s">
        <v>4</v>
      </c>
      <c r="C5" s="35">
        <v>869144</v>
      </c>
      <c r="D5" s="4"/>
      <c r="E5" s="3"/>
      <c r="G5" s="3"/>
      <c r="I5" s="50">
        <f>+D4-I4</f>
        <v>0</v>
      </c>
    </row>
    <row r="6" spans="1:10" ht="13.2" customHeight="1" x14ac:dyDescent="0.3">
      <c r="A6" s="45"/>
      <c r="B6" s="2" t="s">
        <v>5</v>
      </c>
      <c r="C6" s="35">
        <f>1922400+11335478.62</f>
        <v>13257878.619999999</v>
      </c>
      <c r="D6" s="4"/>
    </row>
    <row r="7" spans="1:10" ht="13.2" customHeight="1" x14ac:dyDescent="0.3">
      <c r="A7" s="45"/>
      <c r="B7" s="2" t="s">
        <v>6</v>
      </c>
      <c r="C7" s="35">
        <f>16018314.23-C6-C5</f>
        <v>1891291.6100000013</v>
      </c>
      <c r="D7" s="4"/>
    </row>
    <row r="8" spans="1:10" ht="13.2" customHeight="1" x14ac:dyDescent="0.3">
      <c r="A8" s="45">
        <v>708</v>
      </c>
      <c r="B8" s="2" t="s">
        <v>7</v>
      </c>
      <c r="C8" s="35">
        <v>5971465.4000000004</v>
      </c>
      <c r="D8" s="4"/>
    </row>
    <row r="9" spans="1:10" ht="13.2" customHeight="1" x14ac:dyDescent="0.3">
      <c r="A9" s="45"/>
      <c r="B9" s="2" t="s">
        <v>8</v>
      </c>
      <c r="C9" s="4"/>
      <c r="D9" s="4"/>
      <c r="E9" s="37">
        <f>SUM(C5:C8)+SUM(C16:C17)+C13</f>
        <v>22556036.880000003</v>
      </c>
      <c r="F9" s="2" t="s">
        <v>98</v>
      </c>
      <c r="G9" s="3">
        <v>650000</v>
      </c>
      <c r="H9" s="2" t="s">
        <v>63</v>
      </c>
    </row>
    <row r="10" spans="1:10" ht="13.2" customHeight="1" x14ac:dyDescent="0.3">
      <c r="A10" s="45">
        <v>71</v>
      </c>
      <c r="B10" s="2" t="s">
        <v>91</v>
      </c>
      <c r="C10" s="4">
        <v>-6676631.6600000001</v>
      </c>
      <c r="D10" s="4"/>
      <c r="E10" s="3"/>
      <c r="F10" s="2" t="s">
        <v>90</v>
      </c>
      <c r="G10" s="3">
        <v>250000</v>
      </c>
      <c r="H10" s="2" t="s">
        <v>63</v>
      </c>
    </row>
    <row r="11" spans="1:10" ht="13.2" customHeight="1" x14ac:dyDescent="0.3">
      <c r="A11" s="45">
        <v>74</v>
      </c>
      <c r="B11" s="2" t="s">
        <v>97</v>
      </c>
      <c r="C11" s="4">
        <v>42485</v>
      </c>
      <c r="D11" s="4"/>
      <c r="E11" s="3"/>
      <c r="F11" s="2" t="s">
        <v>45</v>
      </c>
      <c r="G11" s="3">
        <v>40000</v>
      </c>
      <c r="H11" s="2" t="s">
        <v>64</v>
      </c>
    </row>
    <row r="12" spans="1:10" ht="13.2" customHeight="1" x14ac:dyDescent="0.3">
      <c r="A12" s="45">
        <v>751</v>
      </c>
      <c r="B12" s="2" t="s">
        <v>100</v>
      </c>
      <c r="C12" s="4">
        <v>38239.5</v>
      </c>
      <c r="D12" s="4"/>
      <c r="F12" s="2" t="s">
        <v>90</v>
      </c>
      <c r="G12" s="3">
        <v>50000</v>
      </c>
      <c r="H12" s="2" t="s">
        <v>64</v>
      </c>
    </row>
    <row r="13" spans="1:10" ht="13.2" customHeight="1" x14ac:dyDescent="0.3">
      <c r="A13" s="45">
        <v>757</v>
      </c>
      <c r="B13" s="2" t="s">
        <v>92</v>
      </c>
      <c r="C13" s="35">
        <v>371457.25</v>
      </c>
      <c r="D13" s="4"/>
      <c r="F13" s="2" t="s">
        <v>102</v>
      </c>
      <c r="G13" s="3">
        <v>140000</v>
      </c>
      <c r="H13" s="2" t="s">
        <v>101</v>
      </c>
    </row>
    <row r="14" spans="1:10" ht="13.2" customHeight="1" x14ac:dyDescent="0.3">
      <c r="A14" s="45">
        <v>757</v>
      </c>
      <c r="B14" s="2" t="s">
        <v>93</v>
      </c>
      <c r="C14" s="4">
        <v>150000</v>
      </c>
      <c r="D14" s="4"/>
      <c r="F14" s="2" t="s">
        <v>87</v>
      </c>
      <c r="G14" s="3">
        <f>47081.54+92000.53+150089.38</f>
        <v>289171.45</v>
      </c>
      <c r="H14" s="2" t="s">
        <v>88</v>
      </c>
      <c r="I14" s="2" t="s">
        <v>104</v>
      </c>
    </row>
    <row r="15" spans="1:10" ht="13.2" customHeight="1" x14ac:dyDescent="0.3">
      <c r="A15" s="45">
        <v>758</v>
      </c>
      <c r="B15" s="2" t="s">
        <v>10</v>
      </c>
      <c r="C15" s="4">
        <v>27.21</v>
      </c>
      <c r="D15" s="4"/>
      <c r="F15" s="2" t="s">
        <v>45</v>
      </c>
      <c r="G15" s="3">
        <v>630000</v>
      </c>
      <c r="H15" s="2" t="s">
        <v>103</v>
      </c>
    </row>
    <row r="16" spans="1:10" ht="13.2" customHeight="1" x14ac:dyDescent="0.3">
      <c r="A16" s="45">
        <v>775</v>
      </c>
      <c r="B16" s="2" t="s">
        <v>86</v>
      </c>
      <c r="C16" s="35">
        <v>0</v>
      </c>
      <c r="D16" s="4"/>
      <c r="F16" s="2" t="s">
        <v>90</v>
      </c>
      <c r="G16" s="54">
        <v>120000</v>
      </c>
      <c r="H16" s="2" t="s">
        <v>103</v>
      </c>
    </row>
    <row r="17" spans="1:10" ht="13.2" customHeight="1" x14ac:dyDescent="0.3">
      <c r="A17" s="45">
        <v>791</v>
      </c>
      <c r="B17" s="2" t="s">
        <v>11</v>
      </c>
      <c r="C17" s="35">
        <v>194800</v>
      </c>
      <c r="D17" s="4"/>
      <c r="G17" s="33">
        <f>SUM(G9:G16)</f>
        <v>2169171.4500000002</v>
      </c>
    </row>
    <row r="18" spans="1:10" ht="13.2" customHeight="1" x14ac:dyDescent="0.3">
      <c r="A18" s="45"/>
      <c r="B18" s="2" t="s">
        <v>12</v>
      </c>
      <c r="C18" s="34">
        <f>-E18+G17</f>
        <v>2169171.4500000002</v>
      </c>
      <c r="D18" s="4"/>
      <c r="E18" s="29">
        <v>0</v>
      </c>
    </row>
    <row r="19" spans="1:10" ht="13.2" customHeight="1" x14ac:dyDescent="0.3">
      <c r="A19" s="45"/>
      <c r="C19" s="4"/>
      <c r="D19" s="4"/>
    </row>
    <row r="20" spans="1:10" ht="13.2" customHeight="1" x14ac:dyDescent="0.3">
      <c r="A20" s="43" t="s">
        <v>13</v>
      </c>
      <c r="B20" s="1"/>
      <c r="C20" s="4"/>
      <c r="D20" s="44">
        <f>SUM(C21:C29)</f>
        <v>15439550.52</v>
      </c>
      <c r="G20" s="3"/>
      <c r="I20" s="50">
        <f>-E23+23468946.06-225795.8-12013609.13-936516.11-4186.5-176263.03+5620891</f>
        <v>15439550.52</v>
      </c>
      <c r="J20" s="51" t="s">
        <v>54</v>
      </c>
    </row>
    <row r="21" spans="1:10" ht="13.2" customHeight="1" x14ac:dyDescent="0.3">
      <c r="A21" s="45">
        <v>60</v>
      </c>
      <c r="B21" s="2" t="s">
        <v>14</v>
      </c>
      <c r="C21" s="4">
        <v>3148754.48</v>
      </c>
      <c r="D21" s="4"/>
      <c r="I21" s="50">
        <f>+D20-I20</f>
        <v>0</v>
      </c>
    </row>
    <row r="22" spans="1:10" ht="13.2" customHeight="1" x14ac:dyDescent="0.3">
      <c r="A22" s="45">
        <v>61</v>
      </c>
      <c r="B22" s="2" t="s">
        <v>15</v>
      </c>
      <c r="C22" s="4">
        <f>-E23-E24+2350133.46</f>
        <v>2056217.49</v>
      </c>
      <c r="D22" s="4"/>
      <c r="H22" s="3"/>
    </row>
    <row r="23" spans="1:10" ht="13.2" customHeight="1" x14ac:dyDescent="0.3">
      <c r="A23" s="45"/>
      <c r="B23" s="2" t="s">
        <v>16</v>
      </c>
      <c r="C23" s="4"/>
      <c r="D23" s="4"/>
      <c r="E23" s="29">
        <f>5256+251699.25+36960.72</f>
        <v>293915.96999999997</v>
      </c>
      <c r="F23" s="5" t="s">
        <v>60</v>
      </c>
      <c r="H23" s="3"/>
    </row>
    <row r="24" spans="1:10" ht="13.2" customHeight="1" x14ac:dyDescent="0.3">
      <c r="A24" s="45"/>
      <c r="B24" s="5" t="s">
        <v>17</v>
      </c>
      <c r="C24" s="4"/>
      <c r="D24" s="4"/>
      <c r="E24" s="29">
        <v>0</v>
      </c>
      <c r="F24" s="5"/>
    </row>
    <row r="25" spans="1:10" ht="13.2" customHeight="1" x14ac:dyDescent="0.3">
      <c r="A25" s="45">
        <v>62</v>
      </c>
      <c r="B25" s="2" t="s">
        <v>18</v>
      </c>
      <c r="C25" s="4">
        <v>5333041.76</v>
      </c>
      <c r="D25" s="4"/>
    </row>
    <row r="26" spans="1:10" ht="13.2" customHeight="1" x14ac:dyDescent="0.3">
      <c r="A26" s="45"/>
      <c r="B26" s="2" t="s">
        <v>19</v>
      </c>
      <c r="C26" s="4"/>
      <c r="D26" s="4"/>
      <c r="E26" s="29">
        <f>SUM(C21:C25)</f>
        <v>10538013.73</v>
      </c>
    </row>
    <row r="27" spans="1:10" ht="13.2" customHeight="1" x14ac:dyDescent="0.3">
      <c r="A27" s="45">
        <v>65</v>
      </c>
      <c r="B27" s="2" t="s">
        <v>20</v>
      </c>
      <c r="C27" s="4">
        <f>-E28+4901536.79</f>
        <v>4901536.79</v>
      </c>
      <c r="D27" s="4"/>
    </row>
    <row r="28" spans="1:10" ht="13.2" customHeight="1" x14ac:dyDescent="0.3">
      <c r="A28" s="45"/>
      <c r="B28" s="2" t="s">
        <v>21</v>
      </c>
      <c r="C28" s="4"/>
      <c r="D28" s="4"/>
      <c r="E28" s="29">
        <v>0</v>
      </c>
    </row>
    <row r="29" spans="1:10" ht="13.2" customHeight="1" x14ac:dyDescent="0.3">
      <c r="A29" s="45"/>
      <c r="C29" s="4"/>
      <c r="D29" s="4"/>
    </row>
    <row r="30" spans="1:10" ht="13.2" customHeight="1" x14ac:dyDescent="0.3">
      <c r="A30" s="43" t="s">
        <v>22</v>
      </c>
      <c r="C30" s="4"/>
      <c r="D30" s="46">
        <f>+D4-D20-1</f>
        <v>2839776.8600000031</v>
      </c>
    </row>
    <row r="31" spans="1:10" ht="13.2" customHeight="1" x14ac:dyDescent="0.3">
      <c r="A31" s="45" t="s">
        <v>23</v>
      </c>
      <c r="C31" s="57">
        <f>+C46</f>
        <v>3.4000000000000002E-3</v>
      </c>
      <c r="D31" s="4"/>
    </row>
    <row r="32" spans="1:10" ht="13.2" customHeight="1" x14ac:dyDescent="0.3">
      <c r="A32" s="45"/>
      <c r="C32" s="7"/>
      <c r="D32" s="4"/>
    </row>
    <row r="33" spans="1:7" ht="13.2" customHeight="1" x14ac:dyDescent="0.3">
      <c r="A33" s="28" t="s">
        <v>24</v>
      </c>
      <c r="B33" s="8"/>
      <c r="C33" s="9"/>
      <c r="D33" s="30">
        <f>IF(D53&lt;=250,IF(E9&lt;G33,0,250),D53)</f>
        <v>9655.2413240000114</v>
      </c>
      <c r="F33" s="10" t="s">
        <v>25</v>
      </c>
      <c r="G33" s="11">
        <v>500000</v>
      </c>
    </row>
    <row r="34" spans="1:7" ht="13.2" customHeight="1" x14ac:dyDescent="0.3">
      <c r="A34" s="28" t="s">
        <v>26</v>
      </c>
      <c r="B34" s="8"/>
      <c r="C34" s="12">
        <v>9.2299999999999993E-2</v>
      </c>
      <c r="D34" s="27">
        <f>+D33*C34</f>
        <v>891.17877420520097</v>
      </c>
    </row>
    <row r="35" spans="1:7" ht="13.2" customHeight="1" x14ac:dyDescent="0.3">
      <c r="A35" s="28" t="s">
        <v>27</v>
      </c>
      <c r="B35" s="8"/>
      <c r="C35" s="13">
        <v>0.01</v>
      </c>
      <c r="D35" s="27">
        <f>SUM(D33+D34)*C35</f>
        <v>105.46420098205212</v>
      </c>
    </row>
    <row r="36" spans="1:7" ht="13.2" customHeight="1" x14ac:dyDescent="0.3">
      <c r="A36" s="47" t="s">
        <v>28</v>
      </c>
      <c r="B36" s="31"/>
      <c r="C36" s="48"/>
      <c r="D36" s="49">
        <f>SUM(D33:D35)-1</f>
        <v>10650.884299187264</v>
      </c>
    </row>
    <row r="37" spans="1:7" s="14" customFormat="1" ht="6" customHeight="1" x14ac:dyDescent="0.3">
      <c r="C37" s="15"/>
      <c r="D37" s="16"/>
      <c r="F37" s="2"/>
      <c r="G37" s="2"/>
    </row>
    <row r="38" spans="1:7" s="14" customFormat="1" ht="13.2" customHeight="1" x14ac:dyDescent="0.3">
      <c r="B38" s="14" t="s">
        <v>106</v>
      </c>
      <c r="C38" s="15"/>
      <c r="D38" s="16">
        <v>0</v>
      </c>
    </row>
    <row r="39" spans="1:7" s="14" customFormat="1" ht="6" customHeight="1" x14ac:dyDescent="0.3">
      <c r="C39" s="15"/>
      <c r="D39" s="16"/>
    </row>
    <row r="40" spans="1:7" s="14" customFormat="1" ht="13.2" customHeight="1" x14ac:dyDescent="0.3">
      <c r="B40" s="17" t="str">
        <f xml:space="preserve"> IF(D36&lt;0," ",IF(D38&gt;D36,"TROP PROVISIONNE DE","PROVISION A FAIRE"))</f>
        <v>PROVISION A FAIRE</v>
      </c>
      <c r="C40" s="15"/>
      <c r="D40" s="16">
        <f>IF(D36&lt;0," ",D36-D38)</f>
        <v>10650.884299187264</v>
      </c>
    </row>
    <row r="41" spans="1:7" ht="13.2" customHeight="1" x14ac:dyDescent="0.3">
      <c r="A41" s="1"/>
    </row>
    <row r="42" spans="1:7" ht="13.2" customHeight="1" x14ac:dyDescent="0.3">
      <c r="A42" s="2" t="s">
        <v>29</v>
      </c>
      <c r="B42" s="18" t="s">
        <v>30</v>
      </c>
      <c r="C42" s="19" t="s">
        <v>31</v>
      </c>
    </row>
    <row r="43" spans="1:7" ht="13.2" customHeight="1" x14ac:dyDescent="0.3">
      <c r="B43" s="18" t="s">
        <v>32</v>
      </c>
      <c r="C43" s="20">
        <v>0</v>
      </c>
    </row>
    <row r="44" spans="1:7" ht="13.2" customHeight="1" x14ac:dyDescent="0.3">
      <c r="B44" s="18" t="s">
        <v>33</v>
      </c>
      <c r="C44" s="21">
        <f>ROUND((SUM(0.125*SUM($E$10-500000))/2500000),2)/100</f>
        <v>-2.9999999999999997E-4</v>
      </c>
    </row>
    <row r="45" spans="1:7" ht="13.2" customHeight="1" x14ac:dyDescent="0.3">
      <c r="B45" s="18" t="s">
        <v>34</v>
      </c>
      <c r="C45" s="21">
        <f>ROUND((SUM(SUM(0.225*SUM($E$10-3000000))/7000000)+0.125),2)/100</f>
        <v>2.9999999999999997E-4</v>
      </c>
    </row>
    <row r="46" spans="1:7" ht="13.2" customHeight="1" x14ac:dyDescent="0.3">
      <c r="B46" s="55" t="s">
        <v>35</v>
      </c>
      <c r="C46" s="56">
        <f>ROUND((SUM(SUM(0.025*SUM($E$10-10000000))/40000000)+0.35),2)/100</f>
        <v>3.4000000000000002E-3</v>
      </c>
      <c r="D46" s="56" t="s">
        <v>105</v>
      </c>
    </row>
    <row r="47" spans="1:7" ht="13.2" customHeight="1" x14ac:dyDescent="0.3">
      <c r="B47" s="18" t="s">
        <v>36</v>
      </c>
      <c r="C47" s="25">
        <f>ROUND(0.375,2)/100</f>
        <v>3.8E-3</v>
      </c>
      <c r="D47" s="24"/>
    </row>
    <row r="48" spans="1:7" ht="6" customHeight="1" x14ac:dyDescent="0.3"/>
    <row r="49" spans="1:5" ht="13.2" customHeight="1" x14ac:dyDescent="0.3">
      <c r="A49" s="26"/>
      <c r="B49" s="26" t="s">
        <v>37</v>
      </c>
    </row>
    <row r="50" spans="1:5" ht="13.2" customHeight="1" x14ac:dyDescent="0.3">
      <c r="B50" s="18" t="s">
        <v>30</v>
      </c>
      <c r="C50" s="19" t="s">
        <v>38</v>
      </c>
      <c r="D50" s="19" t="s">
        <v>39</v>
      </c>
    </row>
    <row r="51" spans="1:5" ht="13.2" customHeight="1" x14ac:dyDescent="0.3">
      <c r="B51" s="18" t="s">
        <v>40</v>
      </c>
      <c r="C51" s="27">
        <f>IF(($C$6+$C$7+$C$8)&lt;=7600000,($C$6+$C$7+$C$8)*80%,0)</f>
        <v>0</v>
      </c>
      <c r="D51" s="27">
        <f>IF($D$30&lt;=C51,$D$30*$C$31,C51*$C$31)</f>
        <v>0</v>
      </c>
    </row>
    <row r="52" spans="1:5" ht="13.2" customHeight="1" x14ac:dyDescent="0.3">
      <c r="B52" s="18" t="s">
        <v>41</v>
      </c>
      <c r="C52" s="27">
        <f>IF(($C$6+$C$7+$C$8)&gt;7600000,($C$6+$C$7+$C$8)*85%,0)</f>
        <v>17952540.285500001</v>
      </c>
      <c r="D52" s="27">
        <f>IF($D$30&gt;C52,C52*$C$31,$D$30*$C$31)</f>
        <v>9655.2413240000114</v>
      </c>
    </row>
    <row r="53" spans="1:5" ht="13.2" customHeight="1" x14ac:dyDescent="0.3">
      <c r="D53" s="30">
        <f>SUM(D51:D52)</f>
        <v>9655.2413240000114</v>
      </c>
    </row>
    <row r="54" spans="1:5" ht="6" customHeight="1" x14ac:dyDescent="0.3"/>
    <row r="55" spans="1:5" ht="13.2" customHeight="1" x14ac:dyDescent="0.3">
      <c r="B55" s="28" t="s">
        <v>42</v>
      </c>
      <c r="C55" s="58" t="s">
        <v>24</v>
      </c>
      <c r="D55" s="59"/>
    </row>
    <row r="56" spans="1:5" ht="13.2" customHeight="1" x14ac:dyDescent="0.3">
      <c r="B56" s="28" t="s">
        <v>43</v>
      </c>
      <c r="C56" s="29"/>
      <c r="D56" s="27">
        <f>IF($E$9&lt;2000000,(IF((D51+D52)&lt;=500,0,((D51+D52)-500))),0)</f>
        <v>0</v>
      </c>
    </row>
    <row r="57" spans="1:5" ht="13.2" customHeight="1" x14ac:dyDescent="0.3">
      <c r="B57" s="28" t="s">
        <v>44</v>
      </c>
      <c r="C57" s="29"/>
      <c r="D57" s="27">
        <f>IF($E$9&gt;=2000000,(D51+D52),0)</f>
        <v>9655.2413240000114</v>
      </c>
    </row>
    <row r="58" spans="1:5" ht="13.2" customHeight="1" x14ac:dyDescent="0.3">
      <c r="D58" s="27">
        <f>IF(SUM(D56:D57)&gt;0,SUM(D56:D57),125)</f>
        <v>9655.2413240000114</v>
      </c>
      <c r="E58" s="2" t="str">
        <f>IF(D58=250,"Minimum"," ")</f>
        <v xml:space="preserve"> </v>
      </c>
    </row>
  </sheetData>
  <mergeCells count="1">
    <mergeCell ref="C55:D55"/>
  </mergeCells>
  <printOptions horizontalCentered="1"/>
  <pageMargins left="0" right="0" top="0.78740157480314965" bottom="0.19685039370078741" header="0.31496062992125984" footer="0"/>
  <pageSetup paperSize="9" orientation="portrait" horizontalDpi="4294967293" r:id="rId1"/>
  <headerFooter>
    <oddHeader>&amp;L&amp;"-,Gras"&amp;14CHIFOUMI PRODUCTIONS&amp;C&amp;"-,Gras"&amp;16CALCUL CVAE</oddHeader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59A97-9FCF-4852-84CA-3E10FC5BD1BC}">
  <dimension ref="A1:I58"/>
  <sheetViews>
    <sheetView topLeftCell="A30" zoomScale="110" zoomScaleNormal="110" workbookViewId="0">
      <selection activeCell="H5" sqref="H5"/>
    </sheetView>
  </sheetViews>
  <sheetFormatPr baseColWidth="10" defaultColWidth="11.5546875" defaultRowHeight="13.2" customHeight="1" x14ac:dyDescent="0.3"/>
  <cols>
    <col min="1" max="1" width="3.6640625" style="2" customWidth="1"/>
    <col min="2" max="2" width="28.6640625" style="2" customWidth="1"/>
    <col min="3" max="4" width="9.6640625" style="3" customWidth="1"/>
    <col min="5" max="5" width="9.6640625" style="2" customWidth="1"/>
    <col min="6" max="6" width="18.44140625" style="2" customWidth="1"/>
    <col min="7" max="7" width="8.6640625" style="2" customWidth="1"/>
    <col min="8" max="8" width="9.6640625" style="2" customWidth="1"/>
    <col min="9" max="16384" width="11.5546875" style="2"/>
  </cols>
  <sheetData>
    <row r="1" spans="1:9" ht="13.2" customHeight="1" x14ac:dyDescent="0.3">
      <c r="A1" s="36" t="s">
        <v>95</v>
      </c>
    </row>
    <row r="2" spans="1:9" ht="25.95" customHeight="1" x14ac:dyDescent="0.3">
      <c r="A2" s="1" t="s">
        <v>0</v>
      </c>
      <c r="C2" s="38" t="s">
        <v>1</v>
      </c>
      <c r="D2" s="39" t="s">
        <v>2</v>
      </c>
    </row>
    <row r="3" spans="1:9" ht="13.2" customHeight="1" x14ac:dyDescent="0.3">
      <c r="A3" s="40"/>
      <c r="B3" s="41"/>
      <c r="C3" s="42"/>
      <c r="D3" s="42"/>
      <c r="G3" s="32"/>
    </row>
    <row r="4" spans="1:9" ht="13.2" customHeight="1" x14ac:dyDescent="0.3">
      <c r="A4" s="43" t="s">
        <v>3</v>
      </c>
      <c r="B4" s="1"/>
      <c r="C4" s="4"/>
      <c r="D4" s="44">
        <f>SUM(C5:C19)</f>
        <v>11821914.98</v>
      </c>
      <c r="E4" s="3"/>
      <c r="G4" s="3"/>
      <c r="H4" s="50">
        <f>+G17+26672709.23-16307245.46-12529.02-513946.96</f>
        <v>11821914.98</v>
      </c>
      <c r="I4" s="51" t="s">
        <v>54</v>
      </c>
    </row>
    <row r="5" spans="1:9" ht="13.2" customHeight="1" x14ac:dyDescent="0.3">
      <c r="A5" s="45">
        <v>706</v>
      </c>
      <c r="B5" s="2" t="s">
        <v>4</v>
      </c>
      <c r="C5" s="35">
        <v>938038</v>
      </c>
      <c r="D5" s="4"/>
      <c r="E5" s="3"/>
      <c r="G5" s="3"/>
      <c r="H5" s="50">
        <f>+D4-H4</f>
        <v>0</v>
      </c>
    </row>
    <row r="6" spans="1:9" ht="13.2" customHeight="1" x14ac:dyDescent="0.3">
      <c r="A6" s="45"/>
      <c r="B6" s="2" t="s">
        <v>5</v>
      </c>
      <c r="C6" s="35">
        <f>1922400+5375479</f>
        <v>7297879</v>
      </c>
      <c r="D6" s="4"/>
    </row>
    <row r="7" spans="1:9" ht="13.2" customHeight="1" x14ac:dyDescent="0.3">
      <c r="A7" s="45"/>
      <c r="B7" s="2" t="s">
        <v>6</v>
      </c>
      <c r="C7" s="35">
        <f>10081087.81-C6-C5</f>
        <v>1845170.8100000005</v>
      </c>
      <c r="D7" s="4"/>
    </row>
    <row r="8" spans="1:9" ht="13.2" customHeight="1" x14ac:dyDescent="0.3">
      <c r="A8" s="45">
        <v>708</v>
      </c>
      <c r="B8" s="2" t="s">
        <v>7</v>
      </c>
      <c r="C8" s="35">
        <v>5969904.5700000003</v>
      </c>
      <c r="D8" s="4"/>
    </row>
    <row r="9" spans="1:9" ht="13.2" customHeight="1" x14ac:dyDescent="0.3">
      <c r="A9" s="45"/>
      <c r="B9" s="2" t="s">
        <v>8</v>
      </c>
      <c r="C9" s="4"/>
      <c r="D9" s="4"/>
      <c r="E9" s="37">
        <f>SUM(C5:C8)+SUM(C16:C17)+C13</f>
        <v>16281746.880000001</v>
      </c>
      <c r="F9" s="2" t="s">
        <v>98</v>
      </c>
      <c r="G9" s="3">
        <v>650000</v>
      </c>
      <c r="H9" s="2" t="s">
        <v>63</v>
      </c>
    </row>
    <row r="10" spans="1:9" ht="13.2" customHeight="1" x14ac:dyDescent="0.3">
      <c r="A10" s="45">
        <v>71</v>
      </c>
      <c r="B10" s="2" t="s">
        <v>91</v>
      </c>
      <c r="C10" s="4">
        <v>-6676631.6600000001</v>
      </c>
      <c r="D10" s="4"/>
      <c r="E10" s="3"/>
      <c r="F10" s="2" t="s">
        <v>90</v>
      </c>
      <c r="G10" s="3">
        <v>250000</v>
      </c>
      <c r="H10" s="2" t="s">
        <v>63</v>
      </c>
    </row>
    <row r="11" spans="1:9" ht="13.2" customHeight="1" x14ac:dyDescent="0.3">
      <c r="A11" s="45">
        <v>74</v>
      </c>
      <c r="B11" s="2" t="s">
        <v>97</v>
      </c>
      <c r="C11" s="4">
        <v>42485</v>
      </c>
      <c r="D11" s="4"/>
      <c r="E11" s="3"/>
      <c r="F11" s="2" t="s">
        <v>45</v>
      </c>
      <c r="G11" s="3">
        <v>40000</v>
      </c>
      <c r="H11" s="2" t="s">
        <v>64</v>
      </c>
    </row>
    <row r="12" spans="1:9" ht="13.2" customHeight="1" x14ac:dyDescent="0.3">
      <c r="A12" s="45">
        <v>751</v>
      </c>
      <c r="B12" s="2" t="s">
        <v>100</v>
      </c>
      <c r="C12" s="4">
        <v>41383.5</v>
      </c>
      <c r="D12" s="4"/>
      <c r="F12" s="2" t="s">
        <v>90</v>
      </c>
      <c r="G12" s="3">
        <v>50000</v>
      </c>
      <c r="H12" s="2" t="s">
        <v>64</v>
      </c>
    </row>
    <row r="13" spans="1:9" ht="13.2" customHeight="1" x14ac:dyDescent="0.3">
      <c r="A13" s="45">
        <v>757</v>
      </c>
      <c r="B13" s="2" t="s">
        <v>92</v>
      </c>
      <c r="C13" s="35">
        <v>84654.5</v>
      </c>
      <c r="D13" s="4"/>
      <c r="F13" s="2" t="s">
        <v>102</v>
      </c>
      <c r="G13" s="3">
        <v>140000</v>
      </c>
      <c r="H13" s="2" t="s">
        <v>101</v>
      </c>
    </row>
    <row r="14" spans="1:9" ht="13.2" customHeight="1" x14ac:dyDescent="0.3">
      <c r="A14" s="45">
        <v>757</v>
      </c>
      <c r="B14" s="2" t="s">
        <v>93</v>
      </c>
      <c r="C14" s="4">
        <v>150000</v>
      </c>
      <c r="D14" s="4"/>
      <c r="F14" s="2" t="s">
        <v>87</v>
      </c>
      <c r="G14" s="3">
        <v>102927.19</v>
      </c>
      <c r="H14" s="2" t="s">
        <v>88</v>
      </c>
    </row>
    <row r="15" spans="1:9" ht="13.2" customHeight="1" x14ac:dyDescent="0.3">
      <c r="A15" s="45">
        <v>758</v>
      </c>
      <c r="B15" s="2" t="s">
        <v>10</v>
      </c>
      <c r="C15" s="4">
        <v>4.07</v>
      </c>
      <c r="D15" s="4"/>
      <c r="F15" s="2" t="s">
        <v>45</v>
      </c>
      <c r="G15" s="3">
        <v>630000</v>
      </c>
      <c r="H15" s="2" t="s">
        <v>103</v>
      </c>
    </row>
    <row r="16" spans="1:9" ht="13.2" customHeight="1" x14ac:dyDescent="0.3">
      <c r="A16" s="45">
        <v>775</v>
      </c>
      <c r="B16" s="2" t="s">
        <v>86</v>
      </c>
      <c r="C16" s="35">
        <v>0</v>
      </c>
      <c r="D16" s="4"/>
      <c r="F16" s="2" t="s">
        <v>90</v>
      </c>
      <c r="G16" s="54">
        <v>120000</v>
      </c>
      <c r="H16" s="2" t="s">
        <v>103</v>
      </c>
    </row>
    <row r="17" spans="1:9" ht="13.2" customHeight="1" x14ac:dyDescent="0.3">
      <c r="A17" s="45">
        <v>791</v>
      </c>
      <c r="B17" s="2" t="s">
        <v>11</v>
      </c>
      <c r="C17" s="35">
        <v>146100</v>
      </c>
      <c r="D17" s="4"/>
      <c r="G17" s="33">
        <f>SUM(G9:G16)</f>
        <v>1982927.19</v>
      </c>
    </row>
    <row r="18" spans="1:9" ht="13.2" customHeight="1" x14ac:dyDescent="0.3">
      <c r="A18" s="45"/>
      <c r="B18" s="2" t="s">
        <v>12</v>
      </c>
      <c r="C18" s="34">
        <f>-E18+G17</f>
        <v>1982927.19</v>
      </c>
      <c r="D18" s="4"/>
      <c r="E18" s="29">
        <v>0</v>
      </c>
    </row>
    <row r="19" spans="1:9" ht="13.2" customHeight="1" x14ac:dyDescent="0.3">
      <c r="A19" s="45"/>
      <c r="C19" s="4"/>
      <c r="D19" s="4"/>
    </row>
    <row r="20" spans="1:9" ht="13.2" customHeight="1" x14ac:dyDescent="0.3">
      <c r="A20" s="43" t="s">
        <v>13</v>
      </c>
      <c r="B20" s="1"/>
      <c r="C20" s="4"/>
      <c r="D20" s="44">
        <f>SUM(C21:C29)</f>
        <v>10906929.189999999</v>
      </c>
      <c r="G20" s="3"/>
      <c r="H20" s="50">
        <f>-E23+15797660.5-155467.27-7879625.07-690423.3-3650.25-84657.73+4140306</f>
        <v>10906929.190000001</v>
      </c>
      <c r="I20" s="51" t="s">
        <v>54</v>
      </c>
    </row>
    <row r="21" spans="1:9" ht="13.2" customHeight="1" x14ac:dyDescent="0.3">
      <c r="A21" s="45">
        <v>60</v>
      </c>
      <c r="B21" s="2" t="s">
        <v>14</v>
      </c>
      <c r="C21" s="4">
        <v>2241536.31</v>
      </c>
      <c r="D21" s="4"/>
      <c r="H21" s="50">
        <f>+D20-H20</f>
        <v>0</v>
      </c>
    </row>
    <row r="22" spans="1:9" ht="13.2" customHeight="1" x14ac:dyDescent="0.3">
      <c r="A22" s="45">
        <v>61</v>
      </c>
      <c r="B22" s="2" t="s">
        <v>15</v>
      </c>
      <c r="C22" s="4">
        <f>-E23-E24+1542530.45</f>
        <v>1325316.76</v>
      </c>
      <c r="D22" s="4"/>
      <c r="H22" s="3"/>
    </row>
    <row r="23" spans="1:9" ht="13.2" customHeight="1" x14ac:dyDescent="0.3">
      <c r="A23" s="45"/>
      <c r="B23" s="2" t="s">
        <v>16</v>
      </c>
      <c r="C23" s="4"/>
      <c r="D23" s="4"/>
      <c r="E23" s="29">
        <f>3942+187110.56+26161.13</f>
        <v>217213.69</v>
      </c>
      <c r="F23" s="5" t="s">
        <v>60</v>
      </c>
      <c r="H23" s="3"/>
    </row>
    <row r="24" spans="1:9" ht="13.2" customHeight="1" x14ac:dyDescent="0.3">
      <c r="A24" s="45"/>
      <c r="B24" s="5" t="s">
        <v>17</v>
      </c>
      <c r="C24" s="4"/>
      <c r="D24" s="4"/>
      <c r="E24" s="29">
        <v>0</v>
      </c>
      <c r="F24" s="5"/>
    </row>
    <row r="25" spans="1:9" ht="13.2" customHeight="1" x14ac:dyDescent="0.3">
      <c r="A25" s="45">
        <v>62</v>
      </c>
      <c r="B25" s="2" t="s">
        <v>18</v>
      </c>
      <c r="C25" s="4">
        <v>3908572.53</v>
      </c>
      <c r="D25" s="4"/>
    </row>
    <row r="26" spans="1:9" ht="13.2" customHeight="1" x14ac:dyDescent="0.3">
      <c r="A26" s="45"/>
      <c r="B26" s="2" t="s">
        <v>19</v>
      </c>
      <c r="C26" s="4"/>
      <c r="D26" s="4"/>
      <c r="E26" s="29">
        <f>SUM(C21:C25)</f>
        <v>7475425.5999999996</v>
      </c>
    </row>
    <row r="27" spans="1:9" ht="13.2" customHeight="1" x14ac:dyDescent="0.3">
      <c r="A27" s="45">
        <v>65</v>
      </c>
      <c r="B27" s="2" t="s">
        <v>20</v>
      </c>
      <c r="C27" s="4">
        <f>-E28+3431503.59</f>
        <v>3431503.59</v>
      </c>
      <c r="D27" s="4"/>
    </row>
    <row r="28" spans="1:9" ht="13.2" customHeight="1" x14ac:dyDescent="0.3">
      <c r="A28" s="45"/>
      <c r="B28" s="2" t="s">
        <v>21</v>
      </c>
      <c r="C28" s="4"/>
      <c r="D28" s="4"/>
      <c r="E28" s="29">
        <v>0</v>
      </c>
    </row>
    <row r="29" spans="1:9" ht="13.2" customHeight="1" x14ac:dyDescent="0.3">
      <c r="A29" s="45"/>
      <c r="C29" s="4"/>
      <c r="D29" s="4"/>
    </row>
    <row r="30" spans="1:9" ht="13.2" customHeight="1" x14ac:dyDescent="0.3">
      <c r="A30" s="43" t="s">
        <v>22</v>
      </c>
      <c r="C30" s="4"/>
      <c r="D30" s="46">
        <f>+D4-D20-1</f>
        <v>914984.79000000097</v>
      </c>
    </row>
    <row r="31" spans="1:9" ht="13.2" customHeight="1" x14ac:dyDescent="0.3">
      <c r="A31" s="45" t="s">
        <v>23</v>
      </c>
      <c r="C31" s="57">
        <f>+C46</f>
        <v>3.4999999999999996E-3</v>
      </c>
      <c r="D31" s="4"/>
    </row>
    <row r="32" spans="1:9" ht="13.2" customHeight="1" x14ac:dyDescent="0.3">
      <c r="A32" s="45"/>
      <c r="C32" s="7"/>
      <c r="D32" s="4"/>
    </row>
    <row r="33" spans="1:7" ht="13.2" customHeight="1" x14ac:dyDescent="0.3">
      <c r="A33" s="28" t="s">
        <v>24</v>
      </c>
      <c r="B33" s="8"/>
      <c r="C33" s="9"/>
      <c r="D33" s="30">
        <f>IF(D53&lt;=250,IF(E9&lt;G33,0,250),D53)</f>
        <v>3202.4467650000029</v>
      </c>
      <c r="F33" s="10" t="s">
        <v>25</v>
      </c>
      <c r="G33" s="11">
        <v>500000</v>
      </c>
    </row>
    <row r="34" spans="1:7" ht="13.2" customHeight="1" x14ac:dyDescent="0.3">
      <c r="A34" s="28" t="s">
        <v>26</v>
      </c>
      <c r="B34" s="8"/>
      <c r="C34" s="12">
        <v>6.9199999999999998E-2</v>
      </c>
      <c r="D34" s="27">
        <f>+D33*C34</f>
        <v>221.6093161380002</v>
      </c>
    </row>
    <row r="35" spans="1:7" ht="13.2" customHeight="1" x14ac:dyDescent="0.3">
      <c r="A35" s="28" t="s">
        <v>27</v>
      </c>
      <c r="B35" s="8"/>
      <c r="C35" s="13">
        <v>0.01</v>
      </c>
      <c r="D35" s="27">
        <f>SUM(D33+D34)*C35</f>
        <v>34.240560811380035</v>
      </c>
    </row>
    <row r="36" spans="1:7" ht="13.2" customHeight="1" x14ac:dyDescent="0.3">
      <c r="A36" s="47" t="s">
        <v>28</v>
      </c>
      <c r="B36" s="31"/>
      <c r="C36" s="48"/>
      <c r="D36" s="49">
        <f>SUM(D33:D35)-1</f>
        <v>3457.2966419493832</v>
      </c>
    </row>
    <row r="37" spans="1:7" s="14" customFormat="1" ht="6" customHeight="1" x14ac:dyDescent="0.3">
      <c r="C37" s="15"/>
      <c r="D37" s="16"/>
      <c r="F37" s="2"/>
      <c r="G37" s="2"/>
    </row>
    <row r="38" spans="1:7" s="14" customFormat="1" ht="13.2" customHeight="1" x14ac:dyDescent="0.3">
      <c r="B38" s="14" t="s">
        <v>96</v>
      </c>
      <c r="C38" s="15"/>
      <c r="D38" s="16">
        <v>0</v>
      </c>
    </row>
    <row r="39" spans="1:7" s="14" customFormat="1" ht="6" customHeight="1" x14ac:dyDescent="0.3">
      <c r="C39" s="15"/>
      <c r="D39" s="16"/>
    </row>
    <row r="40" spans="1:7" s="14" customFormat="1" ht="13.2" customHeight="1" x14ac:dyDescent="0.3">
      <c r="B40" s="17" t="str">
        <f xml:space="preserve"> IF(D36&lt;0," ",IF(D38&gt;D36,"TROP PROVISIONNE DE","PROVISION A FAIRE"))</f>
        <v>PROVISION A FAIRE</v>
      </c>
      <c r="C40" s="15"/>
      <c r="D40" s="16">
        <f>IF(D36&lt;0," ",D36-D38)</f>
        <v>3457.2966419493832</v>
      </c>
    </row>
    <row r="41" spans="1:7" ht="13.2" customHeight="1" x14ac:dyDescent="0.3">
      <c r="A41" s="1"/>
    </row>
    <row r="42" spans="1:7" ht="13.2" customHeight="1" x14ac:dyDescent="0.3">
      <c r="A42" s="2" t="s">
        <v>29</v>
      </c>
      <c r="B42" s="18" t="s">
        <v>30</v>
      </c>
      <c r="C42" s="19" t="s">
        <v>31</v>
      </c>
    </row>
    <row r="43" spans="1:7" ht="13.2" customHeight="1" x14ac:dyDescent="0.3">
      <c r="B43" s="18" t="s">
        <v>32</v>
      </c>
      <c r="C43" s="20">
        <v>0</v>
      </c>
    </row>
    <row r="44" spans="1:7" ht="13.2" customHeight="1" x14ac:dyDescent="0.3">
      <c r="B44" s="18" t="s">
        <v>33</v>
      </c>
      <c r="C44" s="21">
        <f>ROUND((SUM(0.125*SUM($E$10-500000))/2500000),2)/100</f>
        <v>-2.9999999999999997E-4</v>
      </c>
    </row>
    <row r="45" spans="1:7" ht="13.2" customHeight="1" x14ac:dyDescent="0.3">
      <c r="B45" s="18" t="s">
        <v>34</v>
      </c>
      <c r="C45" s="21">
        <f>ROUND((SUM(SUM(0.225*SUM($E$10-3000000))/7000000)+0.125),2)/100</f>
        <v>2.9999999999999997E-4</v>
      </c>
    </row>
    <row r="46" spans="1:7" ht="13.2" customHeight="1" x14ac:dyDescent="0.3">
      <c r="B46" s="55" t="s">
        <v>35</v>
      </c>
      <c r="C46" s="56">
        <f>ROUND((SUM(SUM(0.0025*SUM($E$10-10000000))/40000000)+0.35),2)/100</f>
        <v>3.4999999999999996E-3</v>
      </c>
      <c r="D46" s="56" t="s">
        <v>99</v>
      </c>
    </row>
    <row r="47" spans="1:7" ht="13.2" customHeight="1" x14ac:dyDescent="0.3">
      <c r="B47" s="18" t="s">
        <v>36</v>
      </c>
      <c r="C47" s="25">
        <f>ROUND(0.375,2)/100</f>
        <v>3.8E-3</v>
      </c>
      <c r="D47" s="24"/>
    </row>
    <row r="48" spans="1:7" ht="6" customHeight="1" x14ac:dyDescent="0.3"/>
    <row r="49" spans="1:5" ht="13.2" customHeight="1" x14ac:dyDescent="0.3">
      <c r="A49" s="26"/>
      <c r="B49" s="26" t="s">
        <v>37</v>
      </c>
    </row>
    <row r="50" spans="1:5" ht="13.2" customHeight="1" x14ac:dyDescent="0.3">
      <c r="B50" s="18" t="s">
        <v>30</v>
      </c>
      <c r="C50" s="19" t="s">
        <v>38</v>
      </c>
      <c r="D50" s="19" t="s">
        <v>39</v>
      </c>
    </row>
    <row r="51" spans="1:5" ht="13.2" customHeight="1" x14ac:dyDescent="0.3">
      <c r="B51" s="18" t="s">
        <v>40</v>
      </c>
      <c r="C51" s="27">
        <f>IF(($C$6+$C$7+$C$8)&lt;=7600000,($C$6+$C$7+$C$8)*80%,0)</f>
        <v>0</v>
      </c>
      <c r="D51" s="27">
        <f>IF($D$30&lt;=C51,$D$30*$C$31,C51*$C$31)</f>
        <v>0</v>
      </c>
    </row>
    <row r="52" spans="1:5" ht="13.2" customHeight="1" x14ac:dyDescent="0.3">
      <c r="B52" s="18" t="s">
        <v>41</v>
      </c>
      <c r="C52" s="27">
        <f>IF(($C$6+$C$7+$C$8)&gt;7600000,($C$6+$C$7+$C$8)*85%,0)</f>
        <v>12846011.223000001</v>
      </c>
      <c r="D52" s="27">
        <f>IF($D$30&gt;C52,C52*$C$31,$D$30*$C$31)</f>
        <v>3202.4467650000029</v>
      </c>
    </row>
    <row r="53" spans="1:5" ht="13.2" customHeight="1" x14ac:dyDescent="0.3">
      <c r="D53" s="30">
        <f>SUM(D51:D52)</f>
        <v>3202.4467650000029</v>
      </c>
    </row>
    <row r="54" spans="1:5" ht="6" customHeight="1" x14ac:dyDescent="0.3"/>
    <row r="55" spans="1:5" ht="13.2" customHeight="1" x14ac:dyDescent="0.3">
      <c r="B55" s="28" t="s">
        <v>42</v>
      </c>
      <c r="C55" s="58" t="s">
        <v>24</v>
      </c>
      <c r="D55" s="59"/>
    </row>
    <row r="56" spans="1:5" ht="13.2" customHeight="1" x14ac:dyDescent="0.3">
      <c r="B56" s="28" t="s">
        <v>43</v>
      </c>
      <c r="C56" s="29"/>
      <c r="D56" s="27">
        <f>IF($E$9&lt;2000000,(IF((D51+D52)&lt;=500,0,((D51+D52)-500))),0)</f>
        <v>0</v>
      </c>
    </row>
    <row r="57" spans="1:5" ht="13.2" customHeight="1" x14ac:dyDescent="0.3">
      <c r="B57" s="28" t="s">
        <v>44</v>
      </c>
      <c r="C57" s="29"/>
      <c r="D57" s="27">
        <f>IF($E$9&gt;=2000000,(D51+D52),0)</f>
        <v>3202.4467650000029</v>
      </c>
    </row>
    <row r="58" spans="1:5" ht="13.2" customHeight="1" x14ac:dyDescent="0.3">
      <c r="D58" s="27">
        <f>IF(SUM(D56:D57)&gt;0,SUM(D56:D57),125)</f>
        <v>3202.4467650000029</v>
      </c>
      <c r="E58" s="2" t="str">
        <f>IF(D58=250,"Minimum"," ")</f>
        <v xml:space="preserve"> </v>
      </c>
    </row>
  </sheetData>
  <mergeCells count="1">
    <mergeCell ref="C55:D55"/>
  </mergeCells>
  <printOptions horizontalCentered="1"/>
  <pageMargins left="0" right="0" top="0.78740157480314965" bottom="0.39370078740157483" header="0.31496062992125984" footer="0"/>
  <pageSetup paperSize="9" orientation="portrait" horizontalDpi="4294967293" r:id="rId1"/>
  <headerFooter>
    <oddHeader>&amp;L&amp;"-,Gras"&amp;14CHIFOUMI PRODUCTIONS&amp;C&amp;"-,Gras"&amp;16CALCUL CVAE</oddHeader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CDE6E-BB69-40AD-8ED5-D5B97C2FB9BC}">
  <dimension ref="A1:I58"/>
  <sheetViews>
    <sheetView topLeftCell="A15" zoomScale="110" zoomScaleNormal="110" workbookViewId="0">
      <selection activeCell="E40" sqref="E40"/>
    </sheetView>
  </sheetViews>
  <sheetFormatPr baseColWidth="10" defaultColWidth="11.5546875" defaultRowHeight="13.2" customHeight="1" x14ac:dyDescent="0.3"/>
  <cols>
    <col min="1" max="1" width="3.6640625" style="2" customWidth="1"/>
    <col min="2" max="2" width="28.6640625" style="2" customWidth="1"/>
    <col min="3" max="4" width="9.6640625" style="3" customWidth="1"/>
    <col min="5" max="5" width="9.6640625" style="2" customWidth="1"/>
    <col min="6" max="6" width="18.44140625" style="2" customWidth="1"/>
    <col min="7" max="7" width="8.6640625" style="2" customWidth="1"/>
    <col min="8" max="8" width="9.6640625" style="2" customWidth="1"/>
    <col min="9" max="16384" width="11.5546875" style="2"/>
  </cols>
  <sheetData>
    <row r="1" spans="1:9" ht="13.2" customHeight="1" x14ac:dyDescent="0.3">
      <c r="A1" s="36" t="s">
        <v>95</v>
      </c>
    </row>
    <row r="2" spans="1:9" ht="25.95" customHeight="1" x14ac:dyDescent="0.3">
      <c r="A2" s="1" t="s">
        <v>0</v>
      </c>
      <c r="C2" s="38" t="s">
        <v>1</v>
      </c>
      <c r="D2" s="39" t="s">
        <v>2</v>
      </c>
    </row>
    <row r="3" spans="1:9" ht="13.2" customHeight="1" x14ac:dyDescent="0.3">
      <c r="A3" s="40"/>
      <c r="B3" s="41"/>
      <c r="C3" s="42"/>
      <c r="D3" s="42"/>
      <c r="G3" s="32"/>
    </row>
    <row r="4" spans="1:9" ht="13.2" customHeight="1" x14ac:dyDescent="0.3">
      <c r="A4" s="43" t="s">
        <v>3</v>
      </c>
      <c r="B4" s="1"/>
      <c r="C4" s="4"/>
      <c r="D4" s="44">
        <f>SUM(C5:C19)</f>
        <v>7400169.1900000004</v>
      </c>
      <c r="E4" s="3"/>
      <c r="G4" s="3"/>
      <c r="H4" s="50">
        <f>+G17+15580828.66-9127656.45-6338.02-16665</f>
        <v>7400169.1900000013</v>
      </c>
      <c r="I4" s="51" t="s">
        <v>54</v>
      </c>
    </row>
    <row r="5" spans="1:9" ht="13.2" customHeight="1" x14ac:dyDescent="0.3">
      <c r="A5" s="45">
        <v>706</v>
      </c>
      <c r="B5" s="2" t="s">
        <v>4</v>
      </c>
      <c r="C5" s="35">
        <v>0</v>
      </c>
      <c r="D5" s="4"/>
      <c r="E5" s="3"/>
      <c r="G5" s="3"/>
      <c r="H5" s="50">
        <f>+D4-H4</f>
        <v>0</v>
      </c>
    </row>
    <row r="6" spans="1:9" ht="13.2" customHeight="1" x14ac:dyDescent="0.3">
      <c r="A6" s="45"/>
      <c r="B6" s="2" t="s">
        <v>5</v>
      </c>
      <c r="C6" s="35">
        <f>1450000+3563904</f>
        <v>5013904</v>
      </c>
      <c r="D6" s="4"/>
    </row>
    <row r="7" spans="1:9" ht="13.2" customHeight="1" x14ac:dyDescent="0.3">
      <c r="A7" s="45"/>
      <c r="B7" s="2" t="s">
        <v>6</v>
      </c>
      <c r="C7" s="35">
        <f>5652629.37-C6-C5</f>
        <v>638725.37000000011</v>
      </c>
      <c r="D7" s="4"/>
    </row>
    <row r="8" spans="1:9" ht="13.2" customHeight="1" x14ac:dyDescent="0.3">
      <c r="A8" s="45">
        <v>708</v>
      </c>
      <c r="B8" s="2" t="s">
        <v>7</v>
      </c>
      <c r="C8" s="35">
        <v>10047.65</v>
      </c>
      <c r="D8" s="4"/>
    </row>
    <row r="9" spans="1:9" ht="13.2" customHeight="1" x14ac:dyDescent="0.3">
      <c r="A9" s="45"/>
      <c r="B9" s="2" t="s">
        <v>8</v>
      </c>
      <c r="C9" s="4"/>
      <c r="D9" s="4"/>
      <c r="E9" s="37">
        <f>SUM(C5:C8)+SUM(C16:C17)+C13</f>
        <v>5830380.2700000005</v>
      </c>
    </row>
    <row r="10" spans="1:9" ht="13.2" customHeight="1" x14ac:dyDescent="0.3">
      <c r="A10" s="45">
        <v>71</v>
      </c>
      <c r="B10" s="2" t="s">
        <v>91</v>
      </c>
      <c r="C10" s="4">
        <v>580365.25</v>
      </c>
      <c r="D10" s="4"/>
      <c r="E10" s="3"/>
      <c r="G10" s="3"/>
    </row>
    <row r="11" spans="1:9" ht="13.2" customHeight="1" x14ac:dyDescent="0.3">
      <c r="A11" s="45">
        <v>74</v>
      </c>
      <c r="B11" s="2" t="s">
        <v>97</v>
      </c>
      <c r="C11" s="4">
        <v>19420</v>
      </c>
      <c r="D11" s="4"/>
      <c r="E11" s="3"/>
      <c r="G11" s="3"/>
    </row>
    <row r="12" spans="1:9" ht="13.2" customHeight="1" x14ac:dyDescent="0.3">
      <c r="A12" s="45">
        <v>751</v>
      </c>
      <c r="B12" s="2" t="s">
        <v>9</v>
      </c>
      <c r="C12" s="4">
        <v>0</v>
      </c>
      <c r="D12" s="4"/>
      <c r="F12" s="2" t="s">
        <v>98</v>
      </c>
      <c r="G12" s="3">
        <v>650000</v>
      </c>
      <c r="H12" s="2" t="s">
        <v>63</v>
      </c>
    </row>
    <row r="13" spans="1:9" ht="13.2" customHeight="1" x14ac:dyDescent="0.3">
      <c r="A13" s="45">
        <v>757</v>
      </c>
      <c r="B13" s="2" t="s">
        <v>92</v>
      </c>
      <c r="C13" s="35">
        <v>70303.25</v>
      </c>
      <c r="D13" s="4"/>
      <c r="F13" s="2" t="s">
        <v>90</v>
      </c>
      <c r="G13" s="3">
        <v>250000</v>
      </c>
      <c r="H13" s="2" t="s">
        <v>63</v>
      </c>
    </row>
    <row r="14" spans="1:9" ht="13.2" customHeight="1" x14ac:dyDescent="0.3">
      <c r="A14" s="45">
        <v>757</v>
      </c>
      <c r="B14" s="2" t="s">
        <v>93</v>
      </c>
      <c r="C14" s="4">
        <v>0</v>
      </c>
      <c r="D14" s="4"/>
      <c r="F14" s="2" t="s">
        <v>45</v>
      </c>
      <c r="G14" s="3">
        <v>20000</v>
      </c>
      <c r="H14" s="2" t="s">
        <v>64</v>
      </c>
    </row>
    <row r="15" spans="1:9" ht="13.2" customHeight="1" x14ac:dyDescent="0.3">
      <c r="A15" s="45">
        <v>758</v>
      </c>
      <c r="B15" s="2" t="s">
        <v>10</v>
      </c>
      <c r="C15" s="4">
        <v>3.67</v>
      </c>
      <c r="D15" s="4"/>
      <c r="F15" s="2" t="s">
        <v>90</v>
      </c>
      <c r="G15" s="3">
        <v>50000</v>
      </c>
      <c r="H15" s="2" t="s">
        <v>64</v>
      </c>
    </row>
    <row r="16" spans="1:9" ht="13.2" customHeight="1" x14ac:dyDescent="0.3">
      <c r="A16" s="45">
        <v>775</v>
      </c>
      <c r="B16" s="2" t="s">
        <v>86</v>
      </c>
      <c r="C16" s="35">
        <v>0</v>
      </c>
      <c r="D16" s="4"/>
      <c r="G16" s="54">
        <v>0</v>
      </c>
    </row>
    <row r="17" spans="1:9" ht="13.2" customHeight="1" x14ac:dyDescent="0.3">
      <c r="A17" s="45">
        <v>791</v>
      </c>
      <c r="B17" s="2" t="s">
        <v>11</v>
      </c>
      <c r="C17" s="35">
        <v>97400</v>
      </c>
      <c r="D17" s="4"/>
      <c r="G17" s="33">
        <f>SUM(G10:G16)</f>
        <v>970000</v>
      </c>
    </row>
    <row r="18" spans="1:9" ht="13.2" customHeight="1" x14ac:dyDescent="0.3">
      <c r="A18" s="45"/>
      <c r="B18" s="2" t="s">
        <v>12</v>
      </c>
      <c r="C18" s="34">
        <f>-E18+G17</f>
        <v>970000</v>
      </c>
      <c r="D18" s="4"/>
      <c r="E18" s="29">
        <v>0</v>
      </c>
    </row>
    <row r="19" spans="1:9" ht="13.2" customHeight="1" x14ac:dyDescent="0.3">
      <c r="A19" s="45"/>
      <c r="C19" s="4"/>
      <c r="D19" s="4"/>
    </row>
    <row r="20" spans="1:9" ht="13.2" customHeight="1" x14ac:dyDescent="0.3">
      <c r="A20" s="43" t="s">
        <v>13</v>
      </c>
      <c r="B20" s="1"/>
      <c r="C20" s="4"/>
      <c r="D20" s="44">
        <f>SUM(C21:C29)</f>
        <v>6541364.1200000001</v>
      </c>
      <c r="G20" s="3"/>
      <c r="H20" s="50">
        <f>-E23+9848465.93-71077-3682380.3-416036.44-3117.75-78359.65+1087571</f>
        <v>6541364.1199999992</v>
      </c>
      <c r="I20" s="51" t="s">
        <v>54</v>
      </c>
    </row>
    <row r="21" spans="1:9" ht="13.2" customHeight="1" x14ac:dyDescent="0.3">
      <c r="A21" s="45">
        <v>60</v>
      </c>
      <c r="B21" s="2" t="s">
        <v>14</v>
      </c>
      <c r="C21" s="4">
        <v>3555472.29</v>
      </c>
      <c r="D21" s="4"/>
      <c r="H21" s="50">
        <f>+D20-H20</f>
        <v>0</v>
      </c>
    </row>
    <row r="22" spans="1:9" ht="13.2" customHeight="1" x14ac:dyDescent="0.3">
      <c r="A22" s="45">
        <v>61</v>
      </c>
      <c r="B22" s="2" t="s">
        <v>15</v>
      </c>
      <c r="C22" s="4">
        <f>-E23-E24+752928.05</f>
        <v>609226.38</v>
      </c>
      <c r="D22" s="4"/>
      <c r="H22" s="3"/>
    </row>
    <row r="23" spans="1:9" ht="13.2" customHeight="1" x14ac:dyDescent="0.3">
      <c r="A23" s="45"/>
      <c r="B23" s="2" t="s">
        <v>16</v>
      </c>
      <c r="C23" s="4"/>
      <c r="D23" s="4"/>
      <c r="E23" s="29">
        <f>2628+123061.6+18012.07</f>
        <v>143701.67000000001</v>
      </c>
      <c r="F23" s="5" t="s">
        <v>60</v>
      </c>
      <c r="H23" s="3"/>
    </row>
    <row r="24" spans="1:9" ht="13.2" customHeight="1" x14ac:dyDescent="0.3">
      <c r="A24" s="45"/>
      <c r="B24" s="5" t="s">
        <v>17</v>
      </c>
      <c r="C24" s="4"/>
      <c r="D24" s="4"/>
      <c r="E24" s="29">
        <v>0</v>
      </c>
      <c r="F24" s="5"/>
    </row>
    <row r="25" spans="1:9" ht="13.2" customHeight="1" x14ac:dyDescent="0.3">
      <c r="A25" s="45">
        <v>62</v>
      </c>
      <c r="B25" s="2" t="s">
        <v>18</v>
      </c>
      <c r="C25" s="4">
        <v>941924.15</v>
      </c>
      <c r="D25" s="4"/>
    </row>
    <row r="26" spans="1:9" ht="13.2" customHeight="1" x14ac:dyDescent="0.3">
      <c r="A26" s="45"/>
      <c r="B26" s="2" t="s">
        <v>19</v>
      </c>
      <c r="C26" s="4"/>
      <c r="D26" s="4"/>
      <c r="E26" s="29">
        <f>SUM(C21:C25)</f>
        <v>5106622.82</v>
      </c>
    </row>
    <row r="27" spans="1:9" ht="13.2" customHeight="1" x14ac:dyDescent="0.3">
      <c r="A27" s="45">
        <v>65</v>
      </c>
      <c r="B27" s="2" t="s">
        <v>20</v>
      </c>
      <c r="C27" s="4">
        <f>-E28+1434741.3</f>
        <v>1434741.3</v>
      </c>
      <c r="D27" s="4"/>
    </row>
    <row r="28" spans="1:9" ht="13.2" customHeight="1" x14ac:dyDescent="0.3">
      <c r="A28" s="45"/>
      <c r="B28" s="2" t="s">
        <v>21</v>
      </c>
      <c r="C28" s="4"/>
      <c r="D28" s="4"/>
      <c r="E28" s="29">
        <v>0</v>
      </c>
    </row>
    <row r="29" spans="1:9" ht="13.2" customHeight="1" x14ac:dyDescent="0.3">
      <c r="A29" s="45"/>
      <c r="C29" s="4"/>
      <c r="D29" s="4"/>
    </row>
    <row r="30" spans="1:9" ht="13.2" customHeight="1" x14ac:dyDescent="0.3">
      <c r="A30" s="43" t="s">
        <v>22</v>
      </c>
      <c r="C30" s="4"/>
      <c r="D30" s="46">
        <f>+D4-D20-1</f>
        <v>858804.0700000003</v>
      </c>
    </row>
    <row r="31" spans="1:9" ht="13.2" customHeight="1" x14ac:dyDescent="0.3">
      <c r="A31" s="45" t="s">
        <v>23</v>
      </c>
      <c r="C31" s="57">
        <f>+C46</f>
        <v>3.4999999999999996E-3</v>
      </c>
      <c r="D31" s="4"/>
    </row>
    <row r="32" spans="1:9" ht="13.2" customHeight="1" x14ac:dyDescent="0.3">
      <c r="A32" s="45"/>
      <c r="C32" s="7"/>
      <c r="D32" s="4"/>
    </row>
    <row r="33" spans="1:7" ht="13.2" customHeight="1" x14ac:dyDescent="0.3">
      <c r="A33" s="28" t="s">
        <v>24</v>
      </c>
      <c r="B33" s="8"/>
      <c r="C33" s="9"/>
      <c r="D33" s="30">
        <f>IF(D53&lt;=250,IF(E9&lt;G33,0,250),D53)</f>
        <v>3005.8142450000009</v>
      </c>
      <c r="F33" s="10" t="s">
        <v>25</v>
      </c>
      <c r="G33" s="11">
        <v>500000</v>
      </c>
    </row>
    <row r="34" spans="1:7" ht="13.2" customHeight="1" x14ac:dyDescent="0.3">
      <c r="A34" s="28" t="s">
        <v>26</v>
      </c>
      <c r="B34" s="8"/>
      <c r="C34" s="12">
        <v>6.9199999999999998E-2</v>
      </c>
      <c r="D34" s="27">
        <f>+D33*C34</f>
        <v>208.00234575400006</v>
      </c>
    </row>
    <row r="35" spans="1:7" ht="13.2" customHeight="1" x14ac:dyDescent="0.3">
      <c r="A35" s="28" t="s">
        <v>27</v>
      </c>
      <c r="B35" s="8"/>
      <c r="C35" s="13">
        <v>0.01</v>
      </c>
      <c r="D35" s="27">
        <f>SUM(D33+D34)*C35</f>
        <v>32.138165907540014</v>
      </c>
    </row>
    <row r="36" spans="1:7" ht="13.2" customHeight="1" x14ac:dyDescent="0.3">
      <c r="A36" s="47" t="s">
        <v>28</v>
      </c>
      <c r="B36" s="31"/>
      <c r="C36" s="48"/>
      <c r="D36" s="49">
        <f>SUM(D33:D35)-1</f>
        <v>3244.9547566615411</v>
      </c>
    </row>
    <row r="37" spans="1:7" s="14" customFormat="1" ht="6" customHeight="1" x14ac:dyDescent="0.3">
      <c r="C37" s="15"/>
      <c r="D37" s="16"/>
      <c r="F37" s="2"/>
      <c r="G37" s="2"/>
    </row>
    <row r="38" spans="1:7" s="14" customFormat="1" ht="13.2" customHeight="1" x14ac:dyDescent="0.3">
      <c r="B38" s="14" t="s">
        <v>96</v>
      </c>
      <c r="C38" s="15"/>
      <c r="D38" s="16">
        <v>0</v>
      </c>
    </row>
    <row r="39" spans="1:7" s="14" customFormat="1" ht="6" customHeight="1" x14ac:dyDescent="0.3">
      <c r="C39" s="15"/>
      <c r="D39" s="16"/>
    </row>
    <row r="40" spans="1:7" s="14" customFormat="1" ht="13.2" customHeight="1" x14ac:dyDescent="0.3">
      <c r="B40" s="17" t="str">
        <f xml:space="preserve"> IF(D36&lt;0," ",IF(D38&gt;D36,"TROP PROVISIONNE DE","PROVISION A FAIRE"))</f>
        <v>PROVISION A FAIRE</v>
      </c>
      <c r="C40" s="15"/>
      <c r="D40" s="16">
        <f>IF(D36&lt;0," ",D36-D38)</f>
        <v>3244.9547566615411</v>
      </c>
    </row>
    <row r="41" spans="1:7" ht="13.2" customHeight="1" x14ac:dyDescent="0.3">
      <c r="A41" s="1"/>
    </row>
    <row r="42" spans="1:7" ht="13.2" customHeight="1" x14ac:dyDescent="0.3">
      <c r="A42" s="2" t="s">
        <v>29</v>
      </c>
      <c r="B42" s="18" t="s">
        <v>30</v>
      </c>
      <c r="C42" s="19" t="s">
        <v>31</v>
      </c>
    </row>
    <row r="43" spans="1:7" ht="13.2" customHeight="1" x14ac:dyDescent="0.3">
      <c r="B43" s="18" t="s">
        <v>32</v>
      </c>
      <c r="C43" s="20">
        <v>0</v>
      </c>
    </row>
    <row r="44" spans="1:7" ht="13.2" customHeight="1" x14ac:dyDescent="0.3">
      <c r="B44" s="18" t="s">
        <v>33</v>
      </c>
      <c r="C44" s="21">
        <f>ROUND((SUM(0.125*SUM($E$10-500000))/2500000),2)/100</f>
        <v>-2.9999999999999997E-4</v>
      </c>
    </row>
    <row r="45" spans="1:7" ht="13.2" customHeight="1" x14ac:dyDescent="0.3">
      <c r="B45" s="22" t="s">
        <v>34</v>
      </c>
      <c r="C45" s="23">
        <f>ROUND((SUM(SUM(0.225*SUM($E$10-3000000))/7000000)+0.125),2)/100</f>
        <v>2.9999999999999997E-4</v>
      </c>
    </row>
    <row r="46" spans="1:7" ht="13.2" customHeight="1" x14ac:dyDescent="0.3">
      <c r="B46" s="55" t="s">
        <v>35</v>
      </c>
      <c r="C46" s="56">
        <f>ROUND((SUM(SUM(0.0025*SUM($E$10-10000000))/40000000)+0.35),2)/100</f>
        <v>3.4999999999999996E-3</v>
      </c>
      <c r="D46" s="56" t="s">
        <v>99</v>
      </c>
    </row>
    <row r="47" spans="1:7" ht="13.2" customHeight="1" x14ac:dyDescent="0.3">
      <c r="B47" s="18" t="s">
        <v>36</v>
      </c>
      <c r="C47" s="25">
        <f>ROUND(0.375,2)/100</f>
        <v>3.8E-3</v>
      </c>
      <c r="D47" s="24"/>
    </row>
    <row r="48" spans="1:7" ht="6" customHeight="1" x14ac:dyDescent="0.3"/>
    <row r="49" spans="1:5" ht="13.2" customHeight="1" x14ac:dyDescent="0.3">
      <c r="A49" s="26"/>
      <c r="B49" s="26" t="s">
        <v>37</v>
      </c>
    </row>
    <row r="50" spans="1:5" ht="13.2" customHeight="1" x14ac:dyDescent="0.3">
      <c r="B50" s="18" t="s">
        <v>30</v>
      </c>
      <c r="C50" s="19" t="s">
        <v>38</v>
      </c>
      <c r="D50" s="19" t="s">
        <v>39</v>
      </c>
    </row>
    <row r="51" spans="1:5" ht="13.2" customHeight="1" x14ac:dyDescent="0.3">
      <c r="B51" s="18" t="s">
        <v>40</v>
      </c>
      <c r="C51" s="27">
        <f>IF(($C$6+$C$7+$C$8)&lt;=7600000,($C$6+$C$7+$C$8)*80%,0)</f>
        <v>4530141.6160000004</v>
      </c>
      <c r="D51" s="27">
        <f>IF($D$30&lt;=C51,$D$30*$C$31,C51*$C$31)</f>
        <v>3005.8142450000009</v>
      </c>
    </row>
    <row r="52" spans="1:5" ht="13.2" customHeight="1" x14ac:dyDescent="0.3">
      <c r="B52" s="18" t="s">
        <v>41</v>
      </c>
      <c r="C52" s="27">
        <f>IF(($C$6+$C$7+$C$8)&gt;7600000,($C$6+$C$7+$C$8)*85%,0)</f>
        <v>0</v>
      </c>
      <c r="D52" s="27">
        <f>IF($D$30&gt;C52,C52*$C$31,$D$30*$C$31)</f>
        <v>0</v>
      </c>
    </row>
    <row r="53" spans="1:5" ht="13.2" customHeight="1" x14ac:dyDescent="0.3">
      <c r="D53" s="30">
        <f>SUM(D51:D52)</f>
        <v>3005.8142450000009</v>
      </c>
    </row>
    <row r="54" spans="1:5" ht="6" customHeight="1" x14ac:dyDescent="0.3"/>
    <row r="55" spans="1:5" ht="13.2" customHeight="1" x14ac:dyDescent="0.3">
      <c r="B55" s="28" t="s">
        <v>42</v>
      </c>
      <c r="C55" s="58" t="s">
        <v>24</v>
      </c>
      <c r="D55" s="59"/>
    </row>
    <row r="56" spans="1:5" ht="13.2" customHeight="1" x14ac:dyDescent="0.3">
      <c r="B56" s="28" t="s">
        <v>43</v>
      </c>
      <c r="C56" s="29"/>
      <c r="D56" s="27">
        <f>IF($E$9&lt;2000000,(IF((D51+D52)&lt;=500,0,((D51+D52)-500))),0)</f>
        <v>0</v>
      </c>
    </row>
    <row r="57" spans="1:5" ht="13.2" customHeight="1" x14ac:dyDescent="0.3">
      <c r="B57" s="28" t="s">
        <v>44</v>
      </c>
      <c r="C57" s="29"/>
      <c r="D57" s="27">
        <f>IF($E$9&gt;=2000000,(D51+D52),0)</f>
        <v>3005.8142450000009</v>
      </c>
    </row>
    <row r="58" spans="1:5" ht="13.2" customHeight="1" x14ac:dyDescent="0.3">
      <c r="D58" s="27">
        <f>IF(SUM(D56:D57)&gt;0,SUM(D56:D57),125)</f>
        <v>3005.8142450000009</v>
      </c>
      <c r="E58" s="2" t="str">
        <f>IF(D58=250,"Minimum"," ")</f>
        <v xml:space="preserve"> </v>
      </c>
    </row>
  </sheetData>
  <mergeCells count="1">
    <mergeCell ref="C55:D55"/>
  </mergeCells>
  <printOptions horizontalCentered="1"/>
  <pageMargins left="0" right="0" top="0.78740157480314965" bottom="0.39370078740157483" header="0.31496062992125984" footer="0"/>
  <pageSetup paperSize="9" orientation="portrait" horizontalDpi="4294967293" r:id="rId1"/>
  <headerFooter>
    <oddHeader>&amp;L&amp;"-,Gras"&amp;14CHIFOUMI PRODUCTIONS&amp;C&amp;"-,Gras"&amp;16CALCUL CVAE</oddHeader>
    <oddFooter xml:space="preserve">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2CE76-5F91-4FCB-BCC0-6476395CA39C}">
  <dimension ref="A1:I58"/>
  <sheetViews>
    <sheetView topLeftCell="A12" zoomScale="110" zoomScaleNormal="110" workbookViewId="0">
      <selection activeCell="C21" sqref="C21"/>
    </sheetView>
  </sheetViews>
  <sheetFormatPr baseColWidth="10" defaultColWidth="11.5546875" defaultRowHeight="13.2" customHeight="1" x14ac:dyDescent="0.3"/>
  <cols>
    <col min="1" max="1" width="3.6640625" style="2" customWidth="1"/>
    <col min="2" max="2" width="28.6640625" style="2" customWidth="1"/>
    <col min="3" max="4" width="9.6640625" style="3" customWidth="1"/>
    <col min="5" max="5" width="9.6640625" style="2" customWidth="1"/>
    <col min="6" max="6" width="18.44140625" style="2" customWidth="1"/>
    <col min="7" max="7" width="8.6640625" style="2" customWidth="1"/>
    <col min="8" max="8" width="9.6640625" style="2" customWidth="1"/>
    <col min="9" max="16384" width="11.5546875" style="2"/>
  </cols>
  <sheetData>
    <row r="1" spans="1:9" ht="13.2" customHeight="1" x14ac:dyDescent="0.3">
      <c r="A1" s="36" t="s">
        <v>95</v>
      </c>
    </row>
    <row r="2" spans="1:9" ht="25.95" customHeight="1" x14ac:dyDescent="0.3">
      <c r="A2" s="1" t="s">
        <v>0</v>
      </c>
      <c r="C2" s="38" t="s">
        <v>1</v>
      </c>
      <c r="D2" s="39" t="s">
        <v>2</v>
      </c>
    </row>
    <row r="3" spans="1:9" ht="13.2" customHeight="1" x14ac:dyDescent="0.3">
      <c r="A3" s="40"/>
      <c r="B3" s="41"/>
      <c r="C3" s="42"/>
      <c r="D3" s="42"/>
      <c r="G3" s="32"/>
    </row>
    <row r="4" spans="1:9" ht="13.2" customHeight="1" x14ac:dyDescent="0.3">
      <c r="A4" s="43" t="s">
        <v>3</v>
      </c>
      <c r="B4" s="1"/>
      <c r="C4" s="4"/>
      <c r="D4" s="44">
        <f>SUM(C5:C19)</f>
        <v>7087998.8099999996</v>
      </c>
      <c r="E4" s="3"/>
      <c r="G4" s="3"/>
      <c r="H4" s="50">
        <f>+G17+8151801.83-1973803.02-10000</f>
        <v>7087998.8100000005</v>
      </c>
      <c r="I4" s="51" t="s">
        <v>54</v>
      </c>
    </row>
    <row r="5" spans="1:9" ht="13.2" customHeight="1" x14ac:dyDescent="0.3">
      <c r="A5" s="45">
        <v>706</v>
      </c>
      <c r="B5" s="2" t="s">
        <v>4</v>
      </c>
      <c r="C5" s="35">
        <v>0</v>
      </c>
      <c r="D5" s="4"/>
      <c r="E5" s="3"/>
      <c r="G5" s="3"/>
      <c r="H5" s="50">
        <f>+D4-H4</f>
        <v>0</v>
      </c>
    </row>
    <row r="6" spans="1:9" ht="13.2" customHeight="1" x14ac:dyDescent="0.3">
      <c r="A6" s="45"/>
      <c r="B6" s="2" t="s">
        <v>5</v>
      </c>
      <c r="C6" s="35">
        <f>1450000+3563904</f>
        <v>5013904</v>
      </c>
      <c r="D6" s="4"/>
    </row>
    <row r="7" spans="1:9" ht="13.2" customHeight="1" x14ac:dyDescent="0.3">
      <c r="A7" s="45"/>
      <c r="B7" s="2" t="s">
        <v>6</v>
      </c>
      <c r="C7" s="35">
        <f>5632144.89-C6-C5</f>
        <v>618240.88999999966</v>
      </c>
      <c r="D7" s="4"/>
    </row>
    <row r="8" spans="1:9" ht="13.2" customHeight="1" x14ac:dyDescent="0.3">
      <c r="A8" s="45">
        <v>708</v>
      </c>
      <c r="B8" s="2" t="s">
        <v>7</v>
      </c>
      <c r="C8" s="35">
        <v>6115</v>
      </c>
      <c r="D8" s="4"/>
    </row>
    <row r="9" spans="1:9" ht="13.2" customHeight="1" x14ac:dyDescent="0.3">
      <c r="A9" s="45"/>
      <c r="B9" s="2" t="s">
        <v>8</v>
      </c>
      <c r="C9" s="4"/>
      <c r="D9" s="4"/>
      <c r="E9" s="37">
        <f>SUM(C5:C8)+SUM(C16:C17)+C13</f>
        <v>5757238.1399999997</v>
      </c>
    </row>
    <row r="10" spans="1:9" ht="13.2" customHeight="1" x14ac:dyDescent="0.3">
      <c r="A10" s="45">
        <v>71</v>
      </c>
      <c r="B10" s="2" t="s">
        <v>91</v>
      </c>
      <c r="C10" s="4">
        <v>391338.78</v>
      </c>
      <c r="D10" s="4"/>
      <c r="E10" s="3"/>
      <c r="G10" s="3"/>
    </row>
    <row r="11" spans="1:9" ht="13.2" customHeight="1" x14ac:dyDescent="0.3">
      <c r="A11" s="45">
        <v>74</v>
      </c>
      <c r="B11" s="2" t="s">
        <v>97</v>
      </c>
      <c r="C11" s="4">
        <v>19420</v>
      </c>
      <c r="D11" s="4"/>
      <c r="E11" s="3"/>
      <c r="G11" s="3"/>
    </row>
    <row r="12" spans="1:9" ht="13.2" customHeight="1" x14ac:dyDescent="0.3">
      <c r="A12" s="45">
        <v>751</v>
      </c>
      <c r="B12" s="2" t="s">
        <v>9</v>
      </c>
      <c r="C12" s="4">
        <v>0</v>
      </c>
      <c r="D12" s="4"/>
      <c r="F12" s="2" t="s">
        <v>98</v>
      </c>
      <c r="G12" s="3">
        <v>650000</v>
      </c>
      <c r="H12" s="2" t="s">
        <v>63</v>
      </c>
    </row>
    <row r="13" spans="1:9" ht="13.2" customHeight="1" x14ac:dyDescent="0.3">
      <c r="A13" s="45">
        <v>757</v>
      </c>
      <c r="B13" s="2" t="s">
        <v>92</v>
      </c>
      <c r="C13" s="35">
        <v>70278.25</v>
      </c>
      <c r="D13" s="4"/>
      <c r="F13" s="2" t="s">
        <v>90</v>
      </c>
      <c r="G13" s="3">
        <v>250000</v>
      </c>
      <c r="H13" s="2" t="s">
        <v>63</v>
      </c>
    </row>
    <row r="14" spans="1:9" ht="13.2" customHeight="1" x14ac:dyDescent="0.3">
      <c r="A14" s="45">
        <v>757</v>
      </c>
      <c r="B14" s="2" t="s">
        <v>93</v>
      </c>
      <c r="C14" s="4">
        <v>0</v>
      </c>
      <c r="D14" s="4"/>
      <c r="F14" s="2" t="s">
        <v>45</v>
      </c>
      <c r="G14" s="3">
        <v>20000</v>
      </c>
      <c r="H14" s="2" t="s">
        <v>64</v>
      </c>
    </row>
    <row r="15" spans="1:9" ht="13.2" customHeight="1" x14ac:dyDescent="0.3">
      <c r="A15" s="45">
        <v>758</v>
      </c>
      <c r="B15" s="2" t="s">
        <v>10</v>
      </c>
      <c r="C15" s="4">
        <v>1.89</v>
      </c>
      <c r="D15" s="4"/>
      <c r="G15" s="3">
        <v>0</v>
      </c>
    </row>
    <row r="16" spans="1:9" ht="13.2" customHeight="1" x14ac:dyDescent="0.3">
      <c r="A16" s="45">
        <v>775</v>
      </c>
      <c r="B16" s="2" t="s">
        <v>86</v>
      </c>
      <c r="C16" s="35">
        <v>0</v>
      </c>
      <c r="D16" s="4"/>
      <c r="G16" s="54">
        <v>0</v>
      </c>
    </row>
    <row r="17" spans="1:9" ht="13.2" customHeight="1" x14ac:dyDescent="0.3">
      <c r="A17" s="45">
        <v>791</v>
      </c>
      <c r="B17" s="2" t="s">
        <v>11</v>
      </c>
      <c r="C17" s="35">
        <v>48700</v>
      </c>
      <c r="D17" s="4"/>
      <c r="G17" s="33">
        <f>SUM(G10:G16)</f>
        <v>920000</v>
      </c>
    </row>
    <row r="18" spans="1:9" ht="13.2" customHeight="1" x14ac:dyDescent="0.3">
      <c r="A18" s="45"/>
      <c r="B18" s="2" t="s">
        <v>12</v>
      </c>
      <c r="C18" s="34">
        <f>-E18+G17</f>
        <v>920000</v>
      </c>
      <c r="D18" s="4"/>
      <c r="E18" s="29">
        <v>0</v>
      </c>
    </row>
    <row r="19" spans="1:9" ht="13.2" customHeight="1" x14ac:dyDescent="0.3">
      <c r="A19" s="45"/>
      <c r="C19" s="4"/>
      <c r="D19" s="4"/>
    </row>
    <row r="20" spans="1:9" ht="13.2" customHeight="1" x14ac:dyDescent="0.3">
      <c r="A20" s="43" t="s">
        <v>13</v>
      </c>
      <c r="B20" s="1"/>
      <c r="C20" s="4"/>
      <c r="D20" s="44">
        <f>SUM(C21:C29)</f>
        <v>1992623.22</v>
      </c>
      <c r="G20" s="3"/>
      <c r="H20" s="50">
        <f>-E23+8166249.48-42564.28-836081.86-186960.69-1951.5-5102209.55+64867</f>
        <v>1992623.5999999996</v>
      </c>
      <c r="I20" s="51" t="s">
        <v>54</v>
      </c>
    </row>
    <row r="21" spans="1:9" ht="13.2" customHeight="1" x14ac:dyDescent="0.3">
      <c r="A21" s="45">
        <v>60</v>
      </c>
      <c r="B21" s="2" t="s">
        <v>14</v>
      </c>
      <c r="C21" s="4">
        <v>435970.32</v>
      </c>
      <c r="D21" s="4"/>
      <c r="H21" s="50">
        <f>+D20-H20</f>
        <v>-0.37999999965541065</v>
      </c>
    </row>
    <row r="22" spans="1:9" ht="13.2" customHeight="1" x14ac:dyDescent="0.3">
      <c r="A22" s="45">
        <v>61</v>
      </c>
      <c r="B22" s="2" t="s">
        <v>15</v>
      </c>
      <c r="C22" s="4">
        <f>-E23-E24+250979.95</f>
        <v>182254.95</v>
      </c>
      <c r="D22" s="4"/>
      <c r="H22" s="3"/>
    </row>
    <row r="23" spans="1:9" ht="13.2" customHeight="1" x14ac:dyDescent="0.3">
      <c r="A23" s="45"/>
      <c r="B23" s="2" t="s">
        <v>16</v>
      </c>
      <c r="C23" s="4"/>
      <c r="D23" s="4"/>
      <c r="E23" s="29">
        <f>1314+60716+6695</f>
        <v>68725</v>
      </c>
      <c r="F23" s="5" t="s">
        <v>60</v>
      </c>
      <c r="H23" s="3"/>
    </row>
    <row r="24" spans="1:9" ht="13.2" customHeight="1" x14ac:dyDescent="0.3">
      <c r="A24" s="45"/>
      <c r="B24" s="5" t="s">
        <v>17</v>
      </c>
      <c r="C24" s="4"/>
      <c r="D24" s="4"/>
      <c r="E24" s="29">
        <v>0</v>
      </c>
      <c r="F24" s="5"/>
    </row>
    <row r="25" spans="1:9" ht="13.2" customHeight="1" x14ac:dyDescent="0.3">
      <c r="A25" s="45">
        <v>62</v>
      </c>
      <c r="B25" s="2" t="s">
        <v>18</v>
      </c>
      <c r="C25" s="4">
        <v>324962.18</v>
      </c>
      <c r="D25" s="4"/>
    </row>
    <row r="26" spans="1:9" ht="13.2" customHeight="1" x14ac:dyDescent="0.3">
      <c r="A26" s="45"/>
      <c r="B26" s="2" t="s">
        <v>19</v>
      </c>
      <c r="C26" s="4"/>
      <c r="D26" s="4"/>
      <c r="E26" s="29">
        <f>SUM(C21:C25)</f>
        <v>943187.45</v>
      </c>
    </row>
    <row r="27" spans="1:9" ht="13.2" customHeight="1" x14ac:dyDescent="0.3">
      <c r="A27" s="45">
        <v>65</v>
      </c>
      <c r="B27" s="2" t="s">
        <v>20</v>
      </c>
      <c r="C27" s="4">
        <f>-E28+1049435.77</f>
        <v>1049435.77</v>
      </c>
      <c r="D27" s="4"/>
    </row>
    <row r="28" spans="1:9" ht="13.2" customHeight="1" x14ac:dyDescent="0.3">
      <c r="A28" s="45"/>
      <c r="B28" s="2" t="s">
        <v>21</v>
      </c>
      <c r="C28" s="4"/>
      <c r="D28" s="4"/>
      <c r="E28" s="29">
        <v>0</v>
      </c>
    </row>
    <row r="29" spans="1:9" ht="13.2" customHeight="1" x14ac:dyDescent="0.3">
      <c r="A29" s="45"/>
      <c r="C29" s="4"/>
      <c r="D29" s="4"/>
    </row>
    <row r="30" spans="1:9" ht="13.2" customHeight="1" x14ac:dyDescent="0.3">
      <c r="A30" s="43" t="s">
        <v>22</v>
      </c>
      <c r="C30" s="4"/>
      <c r="D30" s="46">
        <f>+D4-D20-1</f>
        <v>5095374.59</v>
      </c>
    </row>
    <row r="31" spans="1:9" ht="13.2" customHeight="1" x14ac:dyDescent="0.3">
      <c r="A31" s="45" t="s">
        <v>23</v>
      </c>
      <c r="C31" s="57">
        <f>+C46</f>
        <v>3.4999999999999996E-3</v>
      </c>
      <c r="D31" s="4"/>
    </row>
    <row r="32" spans="1:9" ht="13.2" customHeight="1" x14ac:dyDescent="0.3">
      <c r="A32" s="45"/>
      <c r="C32" s="7"/>
      <c r="D32" s="4"/>
    </row>
    <row r="33" spans="1:7" ht="13.2" customHeight="1" x14ac:dyDescent="0.3">
      <c r="A33" s="28" t="s">
        <v>24</v>
      </c>
      <c r="B33" s="8"/>
      <c r="C33" s="9"/>
      <c r="D33" s="30">
        <f>IF(D53&lt;=250,IF(E9&lt;G33,0,250),D53)</f>
        <v>15787.127691999996</v>
      </c>
      <c r="F33" s="10" t="s">
        <v>25</v>
      </c>
      <c r="G33" s="11">
        <v>500000</v>
      </c>
    </row>
    <row r="34" spans="1:7" ht="13.2" customHeight="1" x14ac:dyDescent="0.3">
      <c r="A34" s="28" t="s">
        <v>26</v>
      </c>
      <c r="B34" s="8"/>
      <c r="C34" s="12">
        <v>6.9199999999999998E-2</v>
      </c>
      <c r="D34" s="27">
        <f>+D33*C34</f>
        <v>1092.4692362863998</v>
      </c>
    </row>
    <row r="35" spans="1:7" ht="13.2" customHeight="1" x14ac:dyDescent="0.3">
      <c r="A35" s="28" t="s">
        <v>27</v>
      </c>
      <c r="B35" s="8"/>
      <c r="C35" s="13">
        <v>0.01</v>
      </c>
      <c r="D35" s="27">
        <f>SUM(D33+D34)*C35</f>
        <v>168.79596928286395</v>
      </c>
    </row>
    <row r="36" spans="1:7" ht="13.2" customHeight="1" x14ac:dyDescent="0.3">
      <c r="A36" s="47" t="s">
        <v>28</v>
      </c>
      <c r="B36" s="31"/>
      <c r="C36" s="48"/>
      <c r="D36" s="49">
        <f>SUM(D33:D35)-1</f>
        <v>17047.392897569258</v>
      </c>
    </row>
    <row r="37" spans="1:7" s="14" customFormat="1" ht="6" customHeight="1" x14ac:dyDescent="0.3">
      <c r="C37" s="15"/>
      <c r="D37" s="16"/>
      <c r="F37" s="2"/>
      <c r="G37" s="2"/>
    </row>
    <row r="38" spans="1:7" s="14" customFormat="1" ht="13.2" customHeight="1" x14ac:dyDescent="0.3">
      <c r="B38" s="14" t="s">
        <v>96</v>
      </c>
      <c r="C38" s="15"/>
      <c r="D38" s="16">
        <v>0</v>
      </c>
    </row>
    <row r="39" spans="1:7" s="14" customFormat="1" ht="6" customHeight="1" x14ac:dyDescent="0.3">
      <c r="C39" s="15"/>
      <c r="D39" s="16"/>
    </row>
    <row r="40" spans="1:7" s="14" customFormat="1" ht="13.2" customHeight="1" x14ac:dyDescent="0.3">
      <c r="B40" s="17" t="str">
        <f xml:space="preserve"> IF(D36&lt;0," ",IF(D38&gt;D36,"TROP PROVISIONNE DE","PROVISION A FAIRE"))</f>
        <v>PROVISION A FAIRE</v>
      </c>
      <c r="C40" s="15"/>
      <c r="D40" s="16">
        <f>IF(D36&lt;0," ",D36-D38)</f>
        <v>17047.392897569258</v>
      </c>
    </row>
    <row r="41" spans="1:7" ht="13.2" customHeight="1" x14ac:dyDescent="0.3">
      <c r="A41" s="1"/>
    </row>
    <row r="42" spans="1:7" ht="13.2" customHeight="1" x14ac:dyDescent="0.3">
      <c r="A42" s="2" t="s">
        <v>29</v>
      </c>
      <c r="B42" s="18" t="s">
        <v>30</v>
      </c>
      <c r="C42" s="19" t="s">
        <v>31</v>
      </c>
    </row>
    <row r="43" spans="1:7" ht="13.2" customHeight="1" x14ac:dyDescent="0.3">
      <c r="B43" s="18" t="s">
        <v>32</v>
      </c>
      <c r="C43" s="20">
        <v>0</v>
      </c>
    </row>
    <row r="44" spans="1:7" ht="13.2" customHeight="1" x14ac:dyDescent="0.3">
      <c r="B44" s="18" t="s">
        <v>33</v>
      </c>
      <c r="C44" s="21">
        <f>ROUND((SUM(0.125*SUM($E$10-500000))/2500000),2)/100</f>
        <v>-2.9999999999999997E-4</v>
      </c>
    </row>
    <row r="45" spans="1:7" ht="13.2" customHeight="1" x14ac:dyDescent="0.3">
      <c r="B45" s="22" t="s">
        <v>34</v>
      </c>
      <c r="C45" s="23">
        <f>ROUND((SUM(SUM(0.225*SUM($E$10-3000000))/7000000)+0.125),2)/100</f>
        <v>2.9999999999999997E-4</v>
      </c>
    </row>
    <row r="46" spans="1:7" ht="13.2" customHeight="1" x14ac:dyDescent="0.3">
      <c r="B46" s="55" t="s">
        <v>35</v>
      </c>
      <c r="C46" s="56">
        <f>ROUND((SUM(SUM(0.0025*SUM($E$10-10000000))/40000000)+0.35),2)/100</f>
        <v>3.4999999999999996E-3</v>
      </c>
      <c r="D46" s="56" t="s">
        <v>99</v>
      </c>
    </row>
    <row r="47" spans="1:7" ht="13.2" customHeight="1" x14ac:dyDescent="0.3">
      <c r="B47" s="18" t="s">
        <v>36</v>
      </c>
      <c r="C47" s="25">
        <f>ROUND(0.375,2)/100</f>
        <v>3.8E-3</v>
      </c>
      <c r="D47" s="24"/>
    </row>
    <row r="48" spans="1:7" ht="6" customHeight="1" x14ac:dyDescent="0.3"/>
    <row r="49" spans="1:5" ht="13.2" customHeight="1" x14ac:dyDescent="0.3">
      <c r="A49" s="26"/>
      <c r="B49" s="26" t="s">
        <v>37</v>
      </c>
    </row>
    <row r="50" spans="1:5" ht="13.2" customHeight="1" x14ac:dyDescent="0.3">
      <c r="B50" s="18" t="s">
        <v>30</v>
      </c>
      <c r="C50" s="19" t="s">
        <v>38</v>
      </c>
      <c r="D50" s="19" t="s">
        <v>39</v>
      </c>
    </row>
    <row r="51" spans="1:5" ht="13.2" customHeight="1" x14ac:dyDescent="0.3">
      <c r="B51" s="18" t="s">
        <v>40</v>
      </c>
      <c r="C51" s="27">
        <f>IF(($C$6+$C$7+$C$8)&lt;=7600000,($C$6+$C$7+$C$8)*80%,0)</f>
        <v>4510607.9119999995</v>
      </c>
      <c r="D51" s="27">
        <f>IF($D$30&lt;=C51,$D$30*$C$31,C51*$C$31)</f>
        <v>15787.127691999996</v>
      </c>
    </row>
    <row r="52" spans="1:5" ht="13.2" customHeight="1" x14ac:dyDescent="0.3">
      <c r="B52" s="18" t="s">
        <v>41</v>
      </c>
      <c r="C52" s="27">
        <f>IF(($C$6+$C$7+$C$8)&gt;7600000,($C$6+$C$7+$C$8)*85%,0)</f>
        <v>0</v>
      </c>
      <c r="D52" s="27">
        <f>IF($D$30&gt;C52,C52*$C$31,$D$30*$C$31)</f>
        <v>0</v>
      </c>
    </row>
    <row r="53" spans="1:5" ht="13.2" customHeight="1" x14ac:dyDescent="0.3">
      <c r="D53" s="30">
        <f>SUM(D51:D52)</f>
        <v>15787.127691999996</v>
      </c>
    </row>
    <row r="54" spans="1:5" ht="6" customHeight="1" x14ac:dyDescent="0.3"/>
    <row r="55" spans="1:5" ht="13.2" customHeight="1" x14ac:dyDescent="0.3">
      <c r="B55" s="28" t="s">
        <v>42</v>
      </c>
      <c r="C55" s="58" t="s">
        <v>24</v>
      </c>
      <c r="D55" s="59"/>
    </row>
    <row r="56" spans="1:5" ht="13.2" customHeight="1" x14ac:dyDescent="0.3">
      <c r="B56" s="28" t="s">
        <v>43</v>
      </c>
      <c r="C56" s="29"/>
      <c r="D56" s="27">
        <f>IF($E$9&lt;2000000,(IF((D51+D52)&lt;=500,0,((D51+D52)-500))),0)</f>
        <v>0</v>
      </c>
    </row>
    <row r="57" spans="1:5" ht="13.2" customHeight="1" x14ac:dyDescent="0.3">
      <c r="B57" s="28" t="s">
        <v>44</v>
      </c>
      <c r="C57" s="29"/>
      <c r="D57" s="27">
        <f>IF($E$9&gt;=2000000,(D51+D52),0)</f>
        <v>15787.127691999996</v>
      </c>
    </row>
    <row r="58" spans="1:5" ht="13.2" customHeight="1" x14ac:dyDescent="0.3">
      <c r="D58" s="27">
        <f>IF(SUM(D56:D57)&gt;0,SUM(D56:D57),125)</f>
        <v>15787.127691999996</v>
      </c>
      <c r="E58" s="2" t="str">
        <f>IF(D58=250,"Minimum"," ")</f>
        <v xml:space="preserve"> </v>
      </c>
    </row>
  </sheetData>
  <mergeCells count="1">
    <mergeCell ref="C55:D55"/>
  </mergeCells>
  <printOptions horizontalCentered="1"/>
  <pageMargins left="0" right="0" top="0.78740157480314965" bottom="0.39370078740157483" header="0.31496062992125984" footer="0"/>
  <pageSetup paperSize="9" orientation="portrait" horizontalDpi="4294967293" r:id="rId1"/>
  <headerFooter>
    <oddHeader>&amp;L&amp;"-,Gras"&amp;14CHIFOUMI PRODUCTIONS&amp;C&amp;"-,Gras"&amp;16CALCUL CVAE</oddHeader>
    <oddFooter xml:space="preserve">&amp;R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C8061-198C-41B6-AC60-4E828DC40F14}">
  <dimension ref="A1:I57"/>
  <sheetViews>
    <sheetView topLeftCell="A21" zoomScale="110" zoomScaleNormal="110" workbookViewId="0">
      <selection activeCell="G11" sqref="G11"/>
    </sheetView>
  </sheetViews>
  <sheetFormatPr baseColWidth="10" defaultColWidth="11.5546875" defaultRowHeight="13.2" customHeight="1" x14ac:dyDescent="0.3"/>
  <cols>
    <col min="1" max="1" width="3.6640625" style="2" customWidth="1"/>
    <col min="2" max="2" width="28.6640625" style="2" customWidth="1"/>
    <col min="3" max="4" width="9.6640625" style="3" customWidth="1"/>
    <col min="5" max="5" width="9.6640625" style="2" customWidth="1"/>
    <col min="6" max="6" width="18.44140625" style="2" customWidth="1"/>
    <col min="7" max="7" width="8.6640625" style="2" customWidth="1"/>
    <col min="8" max="8" width="9.6640625" style="2" customWidth="1"/>
    <col min="9" max="16384" width="11.5546875" style="2"/>
  </cols>
  <sheetData>
    <row r="1" spans="1:9" ht="13.2" customHeight="1" x14ac:dyDescent="0.3">
      <c r="A1" s="36" t="s">
        <v>59</v>
      </c>
    </row>
    <row r="2" spans="1:9" ht="25.95" customHeight="1" x14ac:dyDescent="0.3">
      <c r="A2" s="1" t="s">
        <v>0</v>
      </c>
      <c r="C2" s="38" t="s">
        <v>1</v>
      </c>
      <c r="D2" s="39" t="s">
        <v>2</v>
      </c>
    </row>
    <row r="3" spans="1:9" ht="13.2" customHeight="1" x14ac:dyDescent="0.3">
      <c r="A3" s="40"/>
      <c r="B3" s="41"/>
      <c r="C3" s="42"/>
      <c r="D3" s="42"/>
      <c r="G3" s="32"/>
    </row>
    <row r="4" spans="1:9" ht="13.2" customHeight="1" x14ac:dyDescent="0.3">
      <c r="A4" s="43" t="s">
        <v>3</v>
      </c>
      <c r="B4" s="1"/>
      <c r="C4" s="4"/>
      <c r="D4" s="44">
        <f>SUM(C5:C18)</f>
        <v>16835555.650000002</v>
      </c>
      <c r="E4" s="3"/>
      <c r="G4" s="3"/>
      <c r="H4" s="50">
        <f>+G16+31169240.45-14860002.43-228010.41+1000-355471.04</f>
        <v>16835555.649999999</v>
      </c>
      <c r="I4" s="51" t="s">
        <v>54</v>
      </c>
    </row>
    <row r="5" spans="1:9" ht="13.2" customHeight="1" x14ac:dyDescent="0.3">
      <c r="A5" s="45">
        <v>706</v>
      </c>
      <c r="B5" s="2" t="s">
        <v>4</v>
      </c>
      <c r="C5" s="35">
        <v>850000</v>
      </c>
      <c r="D5" s="4"/>
      <c r="E5" s="3"/>
      <c r="G5" s="3"/>
      <c r="H5" s="50">
        <f>+D4-H4</f>
        <v>0</v>
      </c>
    </row>
    <row r="6" spans="1:9" ht="13.2" customHeight="1" x14ac:dyDescent="0.3">
      <c r="A6" s="45"/>
      <c r="B6" s="2" t="s">
        <v>5</v>
      </c>
      <c r="C6" s="35">
        <f>1300000+2444731.37</f>
        <v>3744731.37</v>
      </c>
      <c r="D6" s="4"/>
    </row>
    <row r="7" spans="1:9" ht="13.2" customHeight="1" x14ac:dyDescent="0.3">
      <c r="A7" s="45"/>
      <c r="B7" s="2" t="s">
        <v>6</v>
      </c>
      <c r="C7" s="35">
        <f>8743981.13-C6-C5</f>
        <v>4149249.7600000007</v>
      </c>
      <c r="D7" s="4"/>
    </row>
    <row r="8" spans="1:9" ht="13.2" customHeight="1" x14ac:dyDescent="0.3">
      <c r="A8" s="45">
        <v>708</v>
      </c>
      <c r="B8" s="2" t="s">
        <v>7</v>
      </c>
      <c r="C8" s="35">
        <v>36605.08</v>
      </c>
      <c r="D8" s="4"/>
    </row>
    <row r="9" spans="1:9" ht="13.2" customHeight="1" x14ac:dyDescent="0.3">
      <c r="A9" s="45"/>
      <c r="B9" s="2" t="s">
        <v>8</v>
      </c>
      <c r="C9" s="4"/>
      <c r="D9" s="4"/>
      <c r="E9" s="37">
        <f>SUM(C5:C8)+SUM(C15:C16)+C12</f>
        <v>9036867.3600000013</v>
      </c>
    </row>
    <row r="10" spans="1:9" ht="13.2" customHeight="1" x14ac:dyDescent="0.3">
      <c r="A10" s="45">
        <v>71</v>
      </c>
      <c r="B10" s="2" t="s">
        <v>91</v>
      </c>
      <c r="C10" s="4">
        <f>6558502.25</f>
        <v>6558502.25</v>
      </c>
      <c r="D10" s="4"/>
      <c r="E10" s="3"/>
      <c r="F10" s="2" t="s">
        <v>55</v>
      </c>
      <c r="G10" s="3">
        <v>240000</v>
      </c>
      <c r="H10" s="2" t="s">
        <v>56</v>
      </c>
    </row>
    <row r="11" spans="1:9" ht="13.2" customHeight="1" x14ac:dyDescent="0.3">
      <c r="A11" s="45">
        <v>751</v>
      </c>
      <c r="B11" s="2" t="s">
        <v>9</v>
      </c>
      <c r="C11" s="4">
        <v>0</v>
      </c>
      <c r="D11" s="4"/>
      <c r="F11" s="2" t="s">
        <v>57</v>
      </c>
      <c r="G11" s="3">
        <v>0</v>
      </c>
      <c r="H11" s="2" t="s">
        <v>58</v>
      </c>
    </row>
    <row r="12" spans="1:9" ht="13.2" customHeight="1" x14ac:dyDescent="0.3">
      <c r="A12" s="45">
        <v>757</v>
      </c>
      <c r="B12" s="2" t="s">
        <v>92</v>
      </c>
      <c r="C12" s="35">
        <v>131381.15</v>
      </c>
      <c r="D12" s="4"/>
      <c r="F12" s="2" t="s">
        <v>87</v>
      </c>
      <c r="G12" s="3">
        <f>406677.54+21909.53</f>
        <v>428587.06999999995</v>
      </c>
      <c r="H12" s="2" t="s">
        <v>88</v>
      </c>
    </row>
    <row r="13" spans="1:9" ht="13.2" customHeight="1" x14ac:dyDescent="0.3">
      <c r="A13" s="45">
        <v>757</v>
      </c>
      <c r="B13" s="2" t="s">
        <v>93</v>
      </c>
      <c r="C13" s="4">
        <v>130000</v>
      </c>
      <c r="D13" s="4"/>
      <c r="F13" s="2" t="s">
        <v>45</v>
      </c>
      <c r="G13" s="3">
        <v>360000</v>
      </c>
      <c r="H13" s="2" t="s">
        <v>64</v>
      </c>
    </row>
    <row r="14" spans="1:9" ht="13.2" customHeight="1" x14ac:dyDescent="0.3">
      <c r="A14" s="45">
        <v>758</v>
      </c>
      <c r="B14" s="2" t="s">
        <v>10</v>
      </c>
      <c r="C14" s="4">
        <v>1386.96</v>
      </c>
      <c r="D14" s="4"/>
      <c r="F14" s="2" t="s">
        <v>89</v>
      </c>
      <c r="G14" s="3">
        <f>50067.01+145</f>
        <v>50212.01</v>
      </c>
      <c r="H14" s="2" t="s">
        <v>67</v>
      </c>
    </row>
    <row r="15" spans="1:9" ht="13.2" customHeight="1" x14ac:dyDescent="0.3">
      <c r="A15" s="45">
        <v>775</v>
      </c>
      <c r="B15" s="2" t="s">
        <v>86</v>
      </c>
      <c r="C15" s="35">
        <v>1000</v>
      </c>
      <c r="D15" s="4"/>
      <c r="F15" s="2" t="s">
        <v>90</v>
      </c>
      <c r="G15" s="54">
        <v>30000</v>
      </c>
      <c r="H15" s="2" t="s">
        <v>67</v>
      </c>
    </row>
    <row r="16" spans="1:9" ht="13.2" customHeight="1" x14ac:dyDescent="0.3">
      <c r="A16" s="45">
        <v>791</v>
      </c>
      <c r="B16" s="2" t="s">
        <v>11</v>
      </c>
      <c r="C16" s="35">
        <v>123900</v>
      </c>
      <c r="D16" s="4"/>
      <c r="G16" s="33">
        <f>SUM(G10:G15)</f>
        <v>1108799.0799999998</v>
      </c>
    </row>
    <row r="17" spans="1:9" ht="13.2" customHeight="1" x14ac:dyDescent="0.3">
      <c r="A17" s="45"/>
      <c r="B17" s="2" t="s">
        <v>12</v>
      </c>
      <c r="C17" s="34">
        <f>-E17+G16</f>
        <v>1108799.0799999998</v>
      </c>
      <c r="D17" s="4"/>
      <c r="E17" s="29">
        <v>0</v>
      </c>
    </row>
    <row r="18" spans="1:9" ht="13.2" customHeight="1" x14ac:dyDescent="0.3">
      <c r="A18" s="45"/>
      <c r="C18" s="4"/>
      <c r="D18" s="4"/>
    </row>
    <row r="19" spans="1:9" ht="13.2" customHeight="1" x14ac:dyDescent="0.3">
      <c r="A19" s="43" t="s">
        <v>13</v>
      </c>
      <c r="B19" s="1"/>
      <c r="C19" s="4"/>
      <c r="D19" s="44">
        <f>SUM(C20:C28)</f>
        <v>12887822.859999999</v>
      </c>
      <c r="G19" s="3"/>
      <c r="H19" s="50">
        <f>-E22+29014221.04-154399.7-12055073.69-524508.23-300291.69-5563767.25+2682440</f>
        <v>12887822.859999999</v>
      </c>
      <c r="I19" s="51" t="s">
        <v>54</v>
      </c>
    </row>
    <row r="20" spans="1:9" ht="13.2" customHeight="1" x14ac:dyDescent="0.3">
      <c r="A20" s="45">
        <v>60</v>
      </c>
      <c r="B20" s="2" t="s">
        <v>14</v>
      </c>
      <c r="C20" s="4">
        <v>3606084.82</v>
      </c>
      <c r="D20" s="4"/>
      <c r="H20" s="50">
        <f>+D19-H19</f>
        <v>0</v>
      </c>
    </row>
    <row r="21" spans="1:9" ht="13.2" customHeight="1" x14ac:dyDescent="0.3">
      <c r="A21" s="45">
        <v>61</v>
      </c>
      <c r="B21" s="2" t="s">
        <v>15</v>
      </c>
      <c r="C21" s="4">
        <f>-E22-E23+2269414.19</f>
        <v>2058616.5699999998</v>
      </c>
      <c r="D21" s="4"/>
      <c r="H21" s="3"/>
    </row>
    <row r="22" spans="1:9" ht="13.2" customHeight="1" x14ac:dyDescent="0.3">
      <c r="A22" s="45"/>
      <c r="B22" s="2" t="s">
        <v>16</v>
      </c>
      <c r="C22" s="4"/>
      <c r="D22" s="4"/>
      <c r="E22" s="29">
        <f>4122+185495.43+21180.19</f>
        <v>210797.62</v>
      </c>
      <c r="F22" s="5" t="s">
        <v>60</v>
      </c>
      <c r="H22" s="3"/>
    </row>
    <row r="23" spans="1:9" ht="13.2" customHeight="1" x14ac:dyDescent="0.3">
      <c r="A23" s="45"/>
      <c r="B23" s="5" t="s">
        <v>17</v>
      </c>
      <c r="C23" s="4"/>
      <c r="D23" s="4"/>
      <c r="E23" s="29">
        <v>0</v>
      </c>
      <c r="F23" s="5"/>
    </row>
    <row r="24" spans="1:9" ht="13.2" customHeight="1" x14ac:dyDescent="0.3">
      <c r="A24" s="45">
        <v>62</v>
      </c>
      <c r="B24" s="2" t="s">
        <v>18</v>
      </c>
      <c r="C24" s="4">
        <v>3149922.68</v>
      </c>
      <c r="D24" s="4"/>
    </row>
    <row r="25" spans="1:9" ht="13.2" customHeight="1" x14ac:dyDescent="0.3">
      <c r="A25" s="45"/>
      <c r="B25" s="2" t="s">
        <v>19</v>
      </c>
      <c r="C25" s="4"/>
      <c r="D25" s="4"/>
      <c r="E25" s="29">
        <f>SUM(C20:C24)</f>
        <v>8814624.0700000003</v>
      </c>
    </row>
    <row r="26" spans="1:9" ht="13.2" customHeight="1" x14ac:dyDescent="0.3">
      <c r="A26" s="45">
        <v>65</v>
      </c>
      <c r="B26" s="2" t="s">
        <v>20</v>
      </c>
      <c r="C26" s="4">
        <f>-E27+4073198.79</f>
        <v>4073198.79</v>
      </c>
      <c r="D26" s="4"/>
    </row>
    <row r="27" spans="1:9" ht="13.2" customHeight="1" x14ac:dyDescent="0.3">
      <c r="A27" s="45"/>
      <c r="B27" s="2" t="s">
        <v>21</v>
      </c>
      <c r="C27" s="4"/>
      <c r="D27" s="4"/>
      <c r="E27" s="29">
        <v>0</v>
      </c>
    </row>
    <row r="28" spans="1:9" ht="13.2" customHeight="1" x14ac:dyDescent="0.3">
      <c r="A28" s="45"/>
      <c r="C28" s="4"/>
      <c r="D28" s="4"/>
    </row>
    <row r="29" spans="1:9" ht="13.2" customHeight="1" x14ac:dyDescent="0.3">
      <c r="A29" s="43" t="s">
        <v>22</v>
      </c>
      <c r="C29" s="4"/>
      <c r="D29" s="46">
        <f>+D4-D19-1</f>
        <v>3947731.7900000028</v>
      </c>
    </row>
    <row r="30" spans="1:9" ht="13.2" customHeight="1" x14ac:dyDescent="0.3">
      <c r="A30" s="45" t="s">
        <v>23</v>
      </c>
      <c r="C30" s="6">
        <f>+C44</f>
        <v>6.4000000000000003E-3</v>
      </c>
      <c r="D30" s="4"/>
    </row>
    <row r="31" spans="1:9" ht="13.2" customHeight="1" x14ac:dyDescent="0.3">
      <c r="A31" s="45"/>
      <c r="C31" s="7"/>
      <c r="D31" s="4"/>
    </row>
    <row r="32" spans="1:9" ht="13.2" customHeight="1" x14ac:dyDescent="0.3">
      <c r="A32" s="28" t="s">
        <v>24</v>
      </c>
      <c r="B32" s="8"/>
      <c r="C32" s="9"/>
      <c r="D32" s="30">
        <f>IF(D52&lt;=250,IF(E9&lt;G32,0,250),D52)</f>
        <v>25265.48345600002</v>
      </c>
      <c r="F32" s="10" t="s">
        <v>25</v>
      </c>
      <c r="G32" s="11">
        <v>500000</v>
      </c>
    </row>
    <row r="33" spans="1:7" ht="13.2" customHeight="1" x14ac:dyDescent="0.3">
      <c r="A33" s="28" t="s">
        <v>26</v>
      </c>
      <c r="B33" s="8"/>
      <c r="C33" s="12">
        <v>3.4599999999999999E-2</v>
      </c>
      <c r="D33" s="27">
        <f>+D32*C33</f>
        <v>874.18572757760069</v>
      </c>
    </row>
    <row r="34" spans="1:7" ht="13.2" customHeight="1" x14ac:dyDescent="0.3">
      <c r="A34" s="28" t="s">
        <v>27</v>
      </c>
      <c r="B34" s="8"/>
      <c r="C34" s="13">
        <v>0.01</v>
      </c>
      <c r="D34" s="27">
        <f>SUM(D32+D33)*C34</f>
        <v>261.39669183577621</v>
      </c>
    </row>
    <row r="35" spans="1:7" ht="13.2" customHeight="1" x14ac:dyDescent="0.3">
      <c r="A35" s="47" t="s">
        <v>28</v>
      </c>
      <c r="B35" s="31"/>
      <c r="C35" s="48"/>
      <c r="D35" s="49">
        <f>SUM(D32:D34)-1</f>
        <v>26400.065875413398</v>
      </c>
    </row>
    <row r="36" spans="1:7" s="14" customFormat="1" ht="6" customHeight="1" x14ac:dyDescent="0.3">
      <c r="C36" s="15"/>
      <c r="D36" s="16"/>
      <c r="F36" s="2"/>
      <c r="G36" s="2"/>
    </row>
    <row r="37" spans="1:7" s="14" customFormat="1" ht="13.2" customHeight="1" x14ac:dyDescent="0.3">
      <c r="B37" s="14" t="s">
        <v>94</v>
      </c>
      <c r="C37" s="15"/>
      <c r="D37" s="16">
        <v>0</v>
      </c>
    </row>
    <row r="38" spans="1:7" s="14" customFormat="1" ht="6" customHeight="1" x14ac:dyDescent="0.3">
      <c r="C38" s="15"/>
      <c r="D38" s="16"/>
    </row>
    <row r="39" spans="1:7" s="14" customFormat="1" ht="13.2" customHeight="1" x14ac:dyDescent="0.3">
      <c r="B39" s="17" t="str">
        <f xml:space="preserve"> IF(D35&lt;0," ",IF(D37&gt;D35,"TROP PROVISIONNE DE","PROVISION A FAIRE"))</f>
        <v>PROVISION A FAIRE</v>
      </c>
      <c r="C39" s="15"/>
      <c r="D39" s="16">
        <f>IF(D35&lt;0," ",D35-D37)</f>
        <v>26400.065875413398</v>
      </c>
    </row>
    <row r="40" spans="1:7" ht="13.2" customHeight="1" x14ac:dyDescent="0.3">
      <c r="A40" s="1"/>
    </row>
    <row r="41" spans="1:7" ht="13.2" customHeight="1" x14ac:dyDescent="0.3">
      <c r="A41" s="2" t="s">
        <v>29</v>
      </c>
      <c r="B41" s="18" t="s">
        <v>30</v>
      </c>
      <c r="C41" s="19" t="s">
        <v>31</v>
      </c>
    </row>
    <row r="42" spans="1:7" ht="13.2" customHeight="1" x14ac:dyDescent="0.3">
      <c r="B42" s="18" t="s">
        <v>32</v>
      </c>
      <c r="C42" s="20">
        <v>0</v>
      </c>
    </row>
    <row r="43" spans="1:7" ht="13.2" customHeight="1" x14ac:dyDescent="0.3">
      <c r="B43" s="18" t="s">
        <v>33</v>
      </c>
      <c r="C43" s="21">
        <f>ROUND((SUM(0.25*SUM($E$9-500000))/2500000),2)/100</f>
        <v>8.5000000000000006E-3</v>
      </c>
    </row>
    <row r="44" spans="1:7" ht="13.2" customHeight="1" x14ac:dyDescent="0.3">
      <c r="B44" s="22" t="s">
        <v>34</v>
      </c>
      <c r="C44" s="23">
        <f>ROUND((SUM(SUM(0.45*SUM($E$9-3000000))/7000000)+0.25),2)/100</f>
        <v>6.4000000000000003E-3</v>
      </c>
    </row>
    <row r="45" spans="1:7" ht="13.2" customHeight="1" x14ac:dyDescent="0.3">
      <c r="B45" s="18" t="s">
        <v>35</v>
      </c>
      <c r="C45" s="21">
        <f>ROUND((SUM(SUM(0.05*SUM($E$9-10000000))/40000000)+0.7),2)/100</f>
        <v>6.9999999999999993E-3</v>
      </c>
      <c r="D45" s="24"/>
    </row>
    <row r="46" spans="1:7" ht="13.2" customHeight="1" x14ac:dyDescent="0.3">
      <c r="B46" s="18" t="s">
        <v>36</v>
      </c>
      <c r="C46" s="25">
        <f>ROUND(0.75,2)/100</f>
        <v>7.4999999999999997E-3</v>
      </c>
      <c r="D46" s="24"/>
    </row>
    <row r="47" spans="1:7" ht="6" customHeight="1" x14ac:dyDescent="0.3"/>
    <row r="48" spans="1:7" ht="13.2" customHeight="1" x14ac:dyDescent="0.3">
      <c r="A48" s="26"/>
      <c r="B48" s="26" t="s">
        <v>37</v>
      </c>
    </row>
    <row r="49" spans="2:5" ht="13.2" customHeight="1" x14ac:dyDescent="0.3">
      <c r="B49" s="18" t="s">
        <v>30</v>
      </c>
      <c r="C49" s="19" t="s">
        <v>38</v>
      </c>
      <c r="D49" s="19" t="s">
        <v>39</v>
      </c>
    </row>
    <row r="50" spans="2:5" ht="13.2" customHeight="1" x14ac:dyDescent="0.3">
      <c r="B50" s="18" t="s">
        <v>40</v>
      </c>
      <c r="C50" s="27">
        <f>IF(($C$6+$C$7+$C$8)&lt;=7600000,($C$6+$C$7+$C$8)*80%,0)</f>
        <v>0</v>
      </c>
      <c r="D50" s="27">
        <f>IF($D$29&lt;=C50,$D$29*$C$30,C50*$C$30)</f>
        <v>0</v>
      </c>
    </row>
    <row r="51" spans="2:5" ht="13.2" customHeight="1" x14ac:dyDescent="0.3">
      <c r="B51" s="18" t="s">
        <v>41</v>
      </c>
      <c r="C51" s="27">
        <f>IF(($C$6+$C$7+$C$8)&gt;7600000,($C$6+$C$7+$C$8)*85%,0)</f>
        <v>6740998.2785000009</v>
      </c>
      <c r="D51" s="27">
        <f>IF($D$29&gt;C51,C51*$C$30,$D$29*$C$30)</f>
        <v>25265.48345600002</v>
      </c>
    </row>
    <row r="52" spans="2:5" ht="13.2" customHeight="1" x14ac:dyDescent="0.3">
      <c r="D52" s="30">
        <f>SUM(D50:D51)</f>
        <v>25265.48345600002</v>
      </c>
    </row>
    <row r="53" spans="2:5" ht="6" customHeight="1" x14ac:dyDescent="0.3"/>
    <row r="54" spans="2:5" ht="13.2" customHeight="1" x14ac:dyDescent="0.3">
      <c r="B54" s="28" t="s">
        <v>42</v>
      </c>
      <c r="C54" s="58" t="s">
        <v>24</v>
      </c>
      <c r="D54" s="59"/>
    </row>
    <row r="55" spans="2:5" ht="13.2" customHeight="1" x14ac:dyDescent="0.3">
      <c r="B55" s="28" t="s">
        <v>43</v>
      </c>
      <c r="C55" s="29"/>
      <c r="D55" s="27">
        <f>IF($E$9&lt;2000000,(IF((D50+D51)&lt;=500,0,((D50+D51)-500))),0)</f>
        <v>0</v>
      </c>
    </row>
    <row r="56" spans="2:5" ht="13.2" customHeight="1" x14ac:dyDescent="0.3">
      <c r="B56" s="28" t="s">
        <v>44</v>
      </c>
      <c r="C56" s="29"/>
      <c r="D56" s="27">
        <f>IF($E$9&gt;=2000000,(D50+D51),0)</f>
        <v>25265.48345600002</v>
      </c>
    </row>
    <row r="57" spans="2:5" ht="13.2" customHeight="1" x14ac:dyDescent="0.3">
      <c r="D57" s="27">
        <f>IF(SUM(D55:D56)&gt;0,SUM(D55:D56),125)</f>
        <v>25265.48345600002</v>
      </c>
      <c r="E57" s="2" t="str">
        <f>IF(D57=250,"Minimum"," ")</f>
        <v xml:space="preserve"> </v>
      </c>
    </row>
  </sheetData>
  <mergeCells count="1">
    <mergeCell ref="C54:D54"/>
  </mergeCells>
  <printOptions horizontalCentered="1"/>
  <pageMargins left="0" right="0" top="0.78740157480314965" bottom="0.39370078740157483" header="0.31496062992125984" footer="0"/>
  <pageSetup paperSize="9" orientation="portrait" horizontalDpi="4294967293" r:id="rId1"/>
  <headerFooter>
    <oddHeader>&amp;L&amp;"-,Gras"&amp;14CHIFOUMI PRODUCTIONS&amp;C&amp;"-,Gras"&amp;16CALCUL CVAE</oddHeader>
    <oddFooter xml:space="preserve">&amp;R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5F3E-E268-41A5-B79B-044F98EF0B87}">
  <dimension ref="A1:I57"/>
  <sheetViews>
    <sheetView topLeftCell="A3" zoomScale="110" zoomScaleNormal="110" workbookViewId="0">
      <selection activeCell="D43" sqref="D43"/>
    </sheetView>
  </sheetViews>
  <sheetFormatPr baseColWidth="10" defaultColWidth="11.5546875" defaultRowHeight="13.2" customHeight="1" x14ac:dyDescent="0.3"/>
  <cols>
    <col min="1" max="1" width="3.6640625" style="2" customWidth="1"/>
    <col min="2" max="2" width="28.6640625" style="2" customWidth="1"/>
    <col min="3" max="4" width="9.6640625" style="3" customWidth="1"/>
    <col min="5" max="5" width="9.6640625" style="2" customWidth="1"/>
    <col min="6" max="6" width="18.44140625" style="2" customWidth="1"/>
    <col min="7" max="7" width="8.6640625" style="2" customWidth="1"/>
    <col min="8" max="8" width="9.6640625" style="2" customWidth="1"/>
    <col min="9" max="16384" width="11.5546875" style="2"/>
  </cols>
  <sheetData>
    <row r="1" spans="1:9" ht="13.2" customHeight="1" x14ac:dyDescent="0.3">
      <c r="A1" s="1"/>
    </row>
    <row r="2" spans="1:9" ht="13.2" customHeight="1" x14ac:dyDescent="0.3">
      <c r="A2" s="36" t="s">
        <v>59</v>
      </c>
    </row>
    <row r="3" spans="1:9" ht="25.95" customHeight="1" x14ac:dyDescent="0.3">
      <c r="A3" s="1" t="s">
        <v>0</v>
      </c>
      <c r="C3" s="38" t="s">
        <v>1</v>
      </c>
      <c r="D3" s="39" t="s">
        <v>2</v>
      </c>
    </row>
    <row r="4" spans="1:9" ht="13.2" customHeight="1" x14ac:dyDescent="0.3">
      <c r="A4" s="40"/>
      <c r="B4" s="41"/>
      <c r="C4" s="42"/>
      <c r="D4" s="42"/>
      <c r="G4" s="32"/>
    </row>
    <row r="5" spans="1:9" ht="13.2" customHeight="1" x14ac:dyDescent="0.3">
      <c r="A5" s="43" t="s">
        <v>3</v>
      </c>
      <c r="B5" s="1"/>
      <c r="C5" s="4"/>
      <c r="D5" s="44">
        <f>SUM(C6:C18)</f>
        <v>16869093.390000001</v>
      </c>
      <c r="E5" s="3"/>
      <c r="G5" s="3"/>
      <c r="H5" s="50">
        <f>+G16+31169240.45-14860002.43-228010.41+1000-355471.04</f>
        <v>16869093.390000001</v>
      </c>
      <c r="I5" s="51" t="s">
        <v>54</v>
      </c>
    </row>
    <row r="6" spans="1:9" ht="13.2" customHeight="1" x14ac:dyDescent="0.3">
      <c r="A6" s="45">
        <v>706</v>
      </c>
      <c r="B6" s="2" t="s">
        <v>4</v>
      </c>
      <c r="C6" s="35">
        <v>850000</v>
      </c>
      <c r="D6" s="4"/>
      <c r="E6" s="3"/>
      <c r="G6" s="3"/>
      <c r="H6" s="50">
        <f>+D5-H5</f>
        <v>0</v>
      </c>
    </row>
    <row r="7" spans="1:9" ht="13.2" customHeight="1" x14ac:dyDescent="0.3">
      <c r="A7" s="45"/>
      <c r="B7" s="2" t="s">
        <v>5</v>
      </c>
      <c r="C7" s="35">
        <f>1300000+2444731.37</f>
        <v>3744731.37</v>
      </c>
      <c r="D7" s="4"/>
    </row>
    <row r="8" spans="1:9" ht="13.2" customHeight="1" x14ac:dyDescent="0.3">
      <c r="A8" s="45"/>
      <c r="B8" s="2" t="s">
        <v>6</v>
      </c>
      <c r="C8" s="35">
        <f>8743981.13-C7-C6</f>
        <v>4149249.7600000007</v>
      </c>
      <c r="D8" s="4"/>
    </row>
    <row r="9" spans="1:9" ht="13.2" customHeight="1" x14ac:dyDescent="0.3">
      <c r="A9" s="45">
        <v>708</v>
      </c>
      <c r="B9" s="2" t="s">
        <v>7</v>
      </c>
      <c r="C9" s="35">
        <v>36605.08</v>
      </c>
      <c r="D9" s="4"/>
    </row>
    <row r="10" spans="1:9" ht="13.2" customHeight="1" x14ac:dyDescent="0.3">
      <c r="A10" s="45"/>
      <c r="B10" s="2" t="s">
        <v>8</v>
      </c>
      <c r="C10" s="4"/>
      <c r="D10" s="4"/>
      <c r="E10" s="37">
        <f>SUM(C6:C9)+C16</f>
        <v>8904486.2100000009</v>
      </c>
      <c r="F10" s="2" t="s">
        <v>55</v>
      </c>
      <c r="G10" s="3">
        <v>240000</v>
      </c>
      <c r="H10" s="2" t="s">
        <v>56</v>
      </c>
    </row>
    <row r="11" spans="1:9" ht="13.2" customHeight="1" x14ac:dyDescent="0.3">
      <c r="A11" s="45">
        <v>71</v>
      </c>
      <c r="B11" s="2" t="s">
        <v>91</v>
      </c>
      <c r="C11" s="4">
        <f>6558502.25</f>
        <v>6558502.25</v>
      </c>
      <c r="D11" s="4"/>
      <c r="E11" s="3"/>
      <c r="F11" s="2" t="s">
        <v>57</v>
      </c>
      <c r="G11" s="3">
        <v>0</v>
      </c>
      <c r="H11" s="2" t="s">
        <v>58</v>
      </c>
    </row>
    <row r="12" spans="1:9" ht="13.2" customHeight="1" x14ac:dyDescent="0.3">
      <c r="A12" s="45">
        <v>751</v>
      </c>
      <c r="B12" s="2" t="s">
        <v>9</v>
      </c>
      <c r="C12" s="4">
        <v>0</v>
      </c>
      <c r="D12" s="4"/>
      <c r="F12" s="2" t="s">
        <v>87</v>
      </c>
      <c r="G12" s="3">
        <f>406677.54+21909.53</f>
        <v>428587.06999999995</v>
      </c>
      <c r="H12" s="2" t="s">
        <v>88</v>
      </c>
    </row>
    <row r="13" spans="1:9" ht="13.2" customHeight="1" x14ac:dyDescent="0.3">
      <c r="A13" s="45">
        <v>757</v>
      </c>
      <c r="B13" s="2" t="s">
        <v>46</v>
      </c>
      <c r="C13" s="4">
        <v>261381.15</v>
      </c>
      <c r="D13" s="4"/>
      <c r="F13" s="2" t="s">
        <v>45</v>
      </c>
      <c r="G13" s="3">
        <v>360000</v>
      </c>
      <c r="H13" s="2" t="s">
        <v>64</v>
      </c>
    </row>
    <row r="14" spans="1:9" ht="13.2" customHeight="1" x14ac:dyDescent="0.3">
      <c r="A14" s="45">
        <v>758</v>
      </c>
      <c r="B14" s="2" t="s">
        <v>10</v>
      </c>
      <c r="C14" s="4">
        <v>1386.96</v>
      </c>
      <c r="D14" s="4"/>
      <c r="F14" s="2" t="s">
        <v>89</v>
      </c>
      <c r="G14" s="3">
        <f>46831.05+3903.75-30000+12802.94+50067.01+145</f>
        <v>83749.75</v>
      </c>
      <c r="H14" s="2" t="s">
        <v>67</v>
      </c>
    </row>
    <row r="15" spans="1:9" ht="13.2" customHeight="1" x14ac:dyDescent="0.3">
      <c r="A15" s="45">
        <v>775</v>
      </c>
      <c r="B15" s="2" t="s">
        <v>86</v>
      </c>
      <c r="C15" s="4">
        <v>1000</v>
      </c>
      <c r="D15" s="4"/>
      <c r="F15" s="2" t="s">
        <v>90</v>
      </c>
      <c r="G15" s="54">
        <v>30000</v>
      </c>
      <c r="H15" s="2" t="s">
        <v>67</v>
      </c>
    </row>
    <row r="16" spans="1:9" ht="13.2" customHeight="1" x14ac:dyDescent="0.3">
      <c r="A16" s="45">
        <v>791</v>
      </c>
      <c r="B16" s="2" t="s">
        <v>11</v>
      </c>
      <c r="C16" s="35">
        <v>123900</v>
      </c>
      <c r="D16" s="4"/>
      <c r="G16" s="33">
        <f>SUM(G10:G15)</f>
        <v>1142336.8199999998</v>
      </c>
    </row>
    <row r="17" spans="1:9" ht="13.2" customHeight="1" x14ac:dyDescent="0.3">
      <c r="A17" s="45"/>
      <c r="B17" s="2" t="s">
        <v>12</v>
      </c>
      <c r="C17" s="34">
        <f>-E17+G16</f>
        <v>1142336.8199999998</v>
      </c>
      <c r="D17" s="4"/>
      <c r="E17" s="29">
        <v>0</v>
      </c>
    </row>
    <row r="18" spans="1:9" ht="13.2" customHeight="1" x14ac:dyDescent="0.3">
      <c r="A18" s="45"/>
      <c r="C18" s="4"/>
      <c r="D18" s="4"/>
    </row>
    <row r="19" spans="1:9" ht="13.2" customHeight="1" x14ac:dyDescent="0.3">
      <c r="A19" s="43" t="s">
        <v>13</v>
      </c>
      <c r="B19" s="1"/>
      <c r="C19" s="4"/>
      <c r="D19" s="44">
        <f>SUM(C20:C28)</f>
        <v>12887822.859999999</v>
      </c>
      <c r="G19" s="3"/>
      <c r="H19" s="50">
        <f>-E22+29014221.04-154399.7-12055073.69-524508.23-300291.69-5563767.25+2682440</f>
        <v>12887822.859999999</v>
      </c>
      <c r="I19" s="51" t="s">
        <v>54</v>
      </c>
    </row>
    <row r="20" spans="1:9" ht="13.2" customHeight="1" x14ac:dyDescent="0.3">
      <c r="A20" s="45">
        <v>60</v>
      </c>
      <c r="B20" s="2" t="s">
        <v>14</v>
      </c>
      <c r="C20" s="4">
        <v>3606084.82</v>
      </c>
      <c r="D20" s="4"/>
      <c r="H20" s="50">
        <f>+D19-H19</f>
        <v>0</v>
      </c>
    </row>
    <row r="21" spans="1:9" ht="13.2" customHeight="1" x14ac:dyDescent="0.3">
      <c r="A21" s="45">
        <v>61</v>
      </c>
      <c r="B21" s="2" t="s">
        <v>15</v>
      </c>
      <c r="C21" s="4">
        <f>-E22-E23+2269414.19</f>
        <v>2058616.5699999998</v>
      </c>
      <c r="D21" s="4"/>
      <c r="H21" s="3"/>
    </row>
    <row r="22" spans="1:9" ht="13.2" customHeight="1" x14ac:dyDescent="0.3">
      <c r="A22" s="45"/>
      <c r="B22" s="2" t="s">
        <v>16</v>
      </c>
      <c r="C22" s="4"/>
      <c r="D22" s="4"/>
      <c r="E22" s="29">
        <f>4122+185495.43+21180.19</f>
        <v>210797.62</v>
      </c>
      <c r="F22" s="5" t="s">
        <v>60</v>
      </c>
      <c r="H22" s="3"/>
    </row>
    <row r="23" spans="1:9" ht="13.2" customHeight="1" x14ac:dyDescent="0.3">
      <c r="A23" s="45"/>
      <c r="B23" s="5" t="s">
        <v>17</v>
      </c>
      <c r="C23" s="4"/>
      <c r="D23" s="4"/>
      <c r="E23" s="29">
        <v>0</v>
      </c>
      <c r="F23" s="5"/>
    </row>
    <row r="24" spans="1:9" ht="13.2" customHeight="1" x14ac:dyDescent="0.3">
      <c r="A24" s="45">
        <v>62</v>
      </c>
      <c r="B24" s="2" t="s">
        <v>18</v>
      </c>
      <c r="C24" s="4">
        <v>3149922.68</v>
      </c>
      <c r="D24" s="4"/>
    </row>
    <row r="25" spans="1:9" ht="13.2" customHeight="1" x14ac:dyDescent="0.3">
      <c r="A25" s="45"/>
      <c r="B25" s="2" t="s">
        <v>19</v>
      </c>
      <c r="C25" s="4"/>
      <c r="D25" s="4"/>
      <c r="E25" s="29">
        <f>SUM(C20:C24)</f>
        <v>8814624.0700000003</v>
      </c>
    </row>
    <row r="26" spans="1:9" ht="13.2" customHeight="1" x14ac:dyDescent="0.3">
      <c r="A26" s="45">
        <v>65</v>
      </c>
      <c r="B26" s="2" t="s">
        <v>20</v>
      </c>
      <c r="C26" s="4">
        <f>-E27+4073198.79</f>
        <v>4073198.79</v>
      </c>
      <c r="D26" s="4"/>
    </row>
    <row r="27" spans="1:9" ht="13.2" customHeight="1" x14ac:dyDescent="0.3">
      <c r="A27" s="45"/>
      <c r="B27" s="2" t="s">
        <v>21</v>
      </c>
      <c r="C27" s="4"/>
      <c r="D27" s="4"/>
      <c r="E27" s="29">
        <v>0</v>
      </c>
    </row>
    <row r="28" spans="1:9" ht="13.2" customHeight="1" x14ac:dyDescent="0.3">
      <c r="A28" s="45"/>
      <c r="C28" s="4"/>
      <c r="D28" s="4"/>
    </row>
    <row r="29" spans="1:9" ht="13.2" customHeight="1" x14ac:dyDescent="0.3">
      <c r="A29" s="43" t="s">
        <v>22</v>
      </c>
      <c r="C29" s="4"/>
      <c r="D29" s="46">
        <f>+D5-D19</f>
        <v>3981270.5300000012</v>
      </c>
    </row>
    <row r="30" spans="1:9" ht="13.2" customHeight="1" x14ac:dyDescent="0.3">
      <c r="A30" s="45" t="s">
        <v>23</v>
      </c>
      <c r="C30" s="6">
        <f>+C43</f>
        <v>8.3999999999999995E-3</v>
      </c>
      <c r="D30" s="4"/>
    </row>
    <row r="31" spans="1:9" ht="13.2" customHeight="1" x14ac:dyDescent="0.3">
      <c r="A31" s="45"/>
      <c r="C31" s="7"/>
      <c r="D31" s="4"/>
    </row>
    <row r="32" spans="1:9" ht="13.2" customHeight="1" x14ac:dyDescent="0.3">
      <c r="A32" s="28" t="s">
        <v>24</v>
      </c>
      <c r="B32" s="8"/>
      <c r="C32" s="9"/>
      <c r="D32" s="30">
        <f>IF(D52&lt;=250,IF(E10&lt;G32,0,250),D52)</f>
        <v>33442.672452000006</v>
      </c>
      <c r="F32" s="10" t="s">
        <v>25</v>
      </c>
      <c r="G32" s="11">
        <v>500000</v>
      </c>
    </row>
    <row r="33" spans="1:7" ht="13.2" customHeight="1" x14ac:dyDescent="0.3">
      <c r="A33" s="28" t="s">
        <v>26</v>
      </c>
      <c r="B33" s="8"/>
      <c r="C33" s="12">
        <v>3.4599999999999999E-2</v>
      </c>
      <c r="D33" s="27">
        <f>+D32*C33</f>
        <v>1157.1164668392003</v>
      </c>
    </row>
    <row r="34" spans="1:7" ht="13.2" customHeight="1" x14ac:dyDescent="0.3">
      <c r="A34" s="28" t="s">
        <v>27</v>
      </c>
      <c r="B34" s="8"/>
      <c r="C34" s="13">
        <v>0.01</v>
      </c>
      <c r="D34" s="27">
        <f>SUM(D32+D33)*C34</f>
        <v>345.99788918839209</v>
      </c>
    </row>
    <row r="35" spans="1:7" ht="13.2" customHeight="1" x14ac:dyDescent="0.3">
      <c r="A35" s="47" t="s">
        <v>28</v>
      </c>
      <c r="B35" s="31"/>
      <c r="C35" s="48"/>
      <c r="D35" s="49">
        <f>SUM(D32:D34)</f>
        <v>34945.786808027602</v>
      </c>
    </row>
    <row r="36" spans="1:7" s="14" customFormat="1" ht="6" customHeight="1" x14ac:dyDescent="0.3">
      <c r="C36" s="15"/>
      <c r="D36" s="16"/>
      <c r="F36" s="2"/>
      <c r="G36" s="2"/>
    </row>
    <row r="37" spans="1:7" s="14" customFormat="1" ht="13.2" customHeight="1" x14ac:dyDescent="0.3">
      <c r="B37" s="14" t="s">
        <v>48</v>
      </c>
      <c r="C37" s="15"/>
      <c r="D37" s="16">
        <v>0</v>
      </c>
    </row>
    <row r="38" spans="1:7" s="14" customFormat="1" ht="6" customHeight="1" x14ac:dyDescent="0.3">
      <c r="C38" s="15"/>
      <c r="D38" s="16"/>
    </row>
    <row r="39" spans="1:7" s="14" customFormat="1" ht="13.2" customHeight="1" x14ac:dyDescent="0.3">
      <c r="B39" s="17" t="str">
        <f xml:space="preserve"> IF(D35&lt;0," ",IF(D37&gt;D35,"TROP PROVISIONNE DE","PROVISION A FAIRE"))</f>
        <v>PROVISION A FAIRE</v>
      </c>
      <c r="C39" s="15"/>
      <c r="D39" s="16">
        <f>IF(D35&lt;0," ",D35-D37)</f>
        <v>34945.786808027602</v>
      </c>
    </row>
    <row r="40" spans="1:7" ht="13.2" customHeight="1" x14ac:dyDescent="0.3">
      <c r="A40" s="1"/>
    </row>
    <row r="41" spans="1:7" ht="13.2" customHeight="1" x14ac:dyDescent="0.3">
      <c r="A41" s="2" t="s">
        <v>29</v>
      </c>
      <c r="B41" s="18" t="s">
        <v>30</v>
      </c>
      <c r="C41" s="19" t="s">
        <v>31</v>
      </c>
    </row>
    <row r="42" spans="1:7" ht="13.2" customHeight="1" x14ac:dyDescent="0.3">
      <c r="B42" s="18" t="s">
        <v>32</v>
      </c>
      <c r="C42" s="20">
        <v>0</v>
      </c>
    </row>
    <row r="43" spans="1:7" ht="13.2" customHeight="1" x14ac:dyDescent="0.3">
      <c r="B43" s="18" t="s">
        <v>33</v>
      </c>
      <c r="C43" s="21">
        <f>ROUND((SUM(0.25*SUM($E$10-500000))/2500000),2)/100</f>
        <v>8.3999999999999995E-3</v>
      </c>
    </row>
    <row r="44" spans="1:7" ht="13.2" customHeight="1" x14ac:dyDescent="0.3">
      <c r="B44" s="22" t="s">
        <v>34</v>
      </c>
      <c r="C44" s="23">
        <f>ROUND((SUM(SUM(0.45*SUM($E$10-3000000))/7000000)+0.25),2)/100</f>
        <v>6.3E-3</v>
      </c>
    </row>
    <row r="45" spans="1:7" ht="13.2" customHeight="1" x14ac:dyDescent="0.3">
      <c r="B45" s="18" t="s">
        <v>35</v>
      </c>
      <c r="C45" s="21">
        <f>ROUND((SUM(SUM(0.05*SUM($E$10-10000000))/40000000)+0.7),2)/100</f>
        <v>6.9999999999999993E-3</v>
      </c>
      <c r="D45" s="24"/>
    </row>
    <row r="46" spans="1:7" ht="13.2" customHeight="1" x14ac:dyDescent="0.3">
      <c r="B46" s="18" t="s">
        <v>36</v>
      </c>
      <c r="C46" s="25">
        <f>ROUND(0.75,2)/100</f>
        <v>7.4999999999999997E-3</v>
      </c>
      <c r="D46" s="24"/>
    </row>
    <row r="47" spans="1:7" ht="6" customHeight="1" x14ac:dyDescent="0.3"/>
    <row r="48" spans="1:7" ht="13.2" customHeight="1" x14ac:dyDescent="0.3">
      <c r="A48" s="26"/>
      <c r="B48" s="26" t="s">
        <v>37</v>
      </c>
    </row>
    <row r="49" spans="2:5" ht="13.2" customHeight="1" x14ac:dyDescent="0.3">
      <c r="B49" s="18" t="s">
        <v>30</v>
      </c>
      <c r="C49" s="19" t="s">
        <v>38</v>
      </c>
      <c r="D49" s="19" t="s">
        <v>39</v>
      </c>
    </row>
    <row r="50" spans="2:5" ht="13.2" customHeight="1" x14ac:dyDescent="0.3">
      <c r="B50" s="18" t="s">
        <v>40</v>
      </c>
      <c r="C50" s="27">
        <f>IF(($C$7+$C$8+$C$9)&lt;=7600000,($C$7+$C$8+$C$9)*80%,0)</f>
        <v>0</v>
      </c>
      <c r="D50" s="27">
        <f>IF($D$29&lt;=C50,$D$29*$C$30,C50*$C$30)</f>
        <v>0</v>
      </c>
    </row>
    <row r="51" spans="2:5" ht="13.2" customHeight="1" x14ac:dyDescent="0.3">
      <c r="B51" s="18" t="s">
        <v>41</v>
      </c>
      <c r="C51" s="27">
        <f>IF(($C$7+$C$8+$C$9)&gt;7600000,($C$7+$C$8+$C$9)*85%,0)</f>
        <v>6740998.2785000009</v>
      </c>
      <c r="D51" s="27">
        <f>IF($D$29&gt;C51,C51*$C$30,$D$29*$C$30)</f>
        <v>33442.672452000006</v>
      </c>
    </row>
    <row r="52" spans="2:5" ht="13.2" customHeight="1" x14ac:dyDescent="0.3">
      <c r="D52" s="30">
        <f>SUM(D50:D51)</f>
        <v>33442.672452000006</v>
      </c>
    </row>
    <row r="53" spans="2:5" ht="6" customHeight="1" x14ac:dyDescent="0.3"/>
    <row r="54" spans="2:5" ht="13.2" customHeight="1" x14ac:dyDescent="0.3">
      <c r="B54" s="28" t="s">
        <v>42</v>
      </c>
      <c r="C54" s="58" t="s">
        <v>24</v>
      </c>
      <c r="D54" s="59"/>
    </row>
    <row r="55" spans="2:5" ht="13.2" customHeight="1" x14ac:dyDescent="0.3">
      <c r="B55" s="28" t="s">
        <v>43</v>
      </c>
      <c r="C55" s="29"/>
      <c r="D55" s="27">
        <f>IF($E$10&lt;2000000,(IF((D50+D51)&lt;=500,0,((D50+D51)-500))),0)</f>
        <v>0</v>
      </c>
    </row>
    <row r="56" spans="2:5" ht="13.2" customHeight="1" x14ac:dyDescent="0.3">
      <c r="B56" s="28" t="s">
        <v>44</v>
      </c>
      <c r="C56" s="29"/>
      <c r="D56" s="27">
        <f>IF($E$10&gt;=2000000,(D50+D51),0)</f>
        <v>33442.672452000006</v>
      </c>
    </row>
    <row r="57" spans="2:5" ht="13.2" customHeight="1" x14ac:dyDescent="0.3">
      <c r="D57" s="27">
        <f>IF(SUM(D55:D56)&gt;0,SUM(D55:D56),125)</f>
        <v>33442.672452000006</v>
      </c>
      <c r="E57" s="2" t="str">
        <f>IF(D57=250,"Minimum"," ")</f>
        <v xml:space="preserve"> </v>
      </c>
    </row>
  </sheetData>
  <mergeCells count="1">
    <mergeCell ref="C54:D54"/>
  </mergeCells>
  <printOptions horizontalCentered="1"/>
  <pageMargins left="0" right="0" top="0.98425196850393704" bottom="0.59055118110236227" header="0.51181102362204722" footer="0.11811023622047245"/>
  <pageSetup paperSize="9" orientation="portrait" r:id="rId1"/>
  <headerFooter>
    <oddHeader>&amp;L&amp;"-,Gras"&amp;14CHIFOUMI PRODUCTIONS&amp;C&amp;"-,Gras"&amp;16CALCUL CVAE</oddHeader>
    <oddFooter xml:space="preserve">&amp;R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7DE1D-17F7-48A5-AC02-FA2436D80221}">
  <dimension ref="A1:M56"/>
  <sheetViews>
    <sheetView topLeftCell="A6" zoomScale="110" zoomScaleNormal="110" workbookViewId="0">
      <selection activeCell="K10" sqref="K10"/>
    </sheetView>
  </sheetViews>
  <sheetFormatPr baseColWidth="10" defaultColWidth="11.5546875" defaultRowHeight="13.2" customHeight="1" x14ac:dyDescent="0.3"/>
  <cols>
    <col min="1" max="1" width="3.6640625" style="2" customWidth="1"/>
    <col min="2" max="2" width="28.6640625" style="2" customWidth="1"/>
    <col min="3" max="4" width="9.6640625" style="3" customWidth="1"/>
    <col min="5" max="5" width="9.6640625" style="2" customWidth="1"/>
    <col min="6" max="6" width="17.33203125" style="2" bestFit="1" customWidth="1"/>
    <col min="7" max="7" width="8.6640625" style="2" customWidth="1"/>
    <col min="8" max="8" width="9.6640625" style="2" customWidth="1"/>
    <col min="9" max="16384" width="11.5546875" style="2"/>
  </cols>
  <sheetData>
    <row r="1" spans="1:13" ht="13.2" customHeight="1" x14ac:dyDescent="0.3">
      <c r="A1" s="1"/>
    </row>
    <row r="2" spans="1:13" ht="13.2" customHeight="1" x14ac:dyDescent="0.3">
      <c r="A2" s="36" t="s">
        <v>61</v>
      </c>
    </row>
    <row r="3" spans="1:13" ht="25.95" customHeight="1" x14ac:dyDescent="0.3">
      <c r="A3" s="1" t="s">
        <v>0</v>
      </c>
      <c r="C3" s="38" t="s">
        <v>1</v>
      </c>
      <c r="D3" s="39" t="s">
        <v>2</v>
      </c>
    </row>
    <row r="4" spans="1:13" ht="13.2" customHeight="1" x14ac:dyDescent="0.3">
      <c r="A4" s="40"/>
      <c r="B4" s="41"/>
      <c r="C4" s="42"/>
      <c r="D4" s="42"/>
      <c r="G4" s="32"/>
      <c r="K4" s="52" t="s">
        <v>73</v>
      </c>
      <c r="L4" s="52" t="s">
        <v>74</v>
      </c>
    </row>
    <row r="5" spans="1:13" ht="13.2" customHeight="1" x14ac:dyDescent="0.3">
      <c r="A5" s="43" t="s">
        <v>3</v>
      </c>
      <c r="B5" s="1"/>
      <c r="C5" s="4"/>
      <c r="D5" s="44">
        <f>SUM(C6:C17)</f>
        <v>16883521.489999998</v>
      </c>
      <c r="E5" s="3"/>
      <c r="G5" s="3"/>
      <c r="H5" s="50"/>
      <c r="I5" s="51"/>
      <c r="J5" s="2" t="s">
        <v>62</v>
      </c>
      <c r="K5" s="3">
        <v>0</v>
      </c>
    </row>
    <row r="6" spans="1:13" ht="13.2" customHeight="1" x14ac:dyDescent="0.3">
      <c r="A6" s="45">
        <v>706</v>
      </c>
      <c r="B6" s="2" t="s">
        <v>4</v>
      </c>
      <c r="C6" s="35">
        <v>938038</v>
      </c>
      <c r="D6" s="4"/>
      <c r="E6" s="3"/>
      <c r="G6" s="3"/>
      <c r="H6" s="50"/>
      <c r="J6" s="2" t="s">
        <v>56</v>
      </c>
      <c r="K6" s="3">
        <v>4013878</v>
      </c>
      <c r="L6" s="3">
        <f>300000-'CVAE 2021'!G13</f>
        <v>240000</v>
      </c>
    </row>
    <row r="7" spans="1:13" ht="13.2" customHeight="1" x14ac:dyDescent="0.3">
      <c r="A7" s="45"/>
      <c r="B7" s="2" t="s">
        <v>5</v>
      </c>
      <c r="C7" s="35">
        <f>(1694528+5200+3000+350000+200000+200000+1300000)+1052654+1000000</f>
        <v>5805382</v>
      </c>
      <c r="D7" s="4"/>
      <c r="J7" s="2" t="s">
        <v>58</v>
      </c>
      <c r="K7" s="3">
        <v>0</v>
      </c>
      <c r="L7" s="3">
        <f>900000-'CVAE 2021'!G14</f>
        <v>761674.49</v>
      </c>
      <c r="M7" s="2" t="s">
        <v>76</v>
      </c>
    </row>
    <row r="8" spans="1:13" ht="13.2" customHeight="1" x14ac:dyDescent="0.3">
      <c r="A8" s="45"/>
      <c r="B8" s="2" t="s">
        <v>6</v>
      </c>
      <c r="C8" s="35">
        <v>0</v>
      </c>
      <c r="D8" s="4"/>
      <c r="J8" s="2" t="s">
        <v>63</v>
      </c>
      <c r="K8" s="3">
        <v>0</v>
      </c>
      <c r="L8" s="3">
        <f>650000+250000</f>
        <v>900000</v>
      </c>
    </row>
    <row r="9" spans="1:13" ht="13.2" customHeight="1" x14ac:dyDescent="0.3">
      <c r="A9" s="45">
        <v>708</v>
      </c>
      <c r="B9" s="2" t="s">
        <v>7</v>
      </c>
      <c r="C9" s="35">
        <f>1330848+6646429</f>
        <v>7977277</v>
      </c>
      <c r="D9" s="4"/>
      <c r="J9" s="2" t="s">
        <v>64</v>
      </c>
      <c r="K9" s="3">
        <v>0</v>
      </c>
      <c r="L9" s="3">
        <v>0</v>
      </c>
    </row>
    <row r="10" spans="1:13" ht="13.2" customHeight="1" x14ac:dyDescent="0.3">
      <c r="A10" s="45"/>
      <c r="B10" s="2" t="s">
        <v>8</v>
      </c>
      <c r="C10" s="4"/>
      <c r="D10" s="4"/>
      <c r="E10" s="37">
        <f>SUM(C6:C9)+C15</f>
        <v>14720697</v>
      </c>
      <c r="F10" s="2" t="s">
        <v>79</v>
      </c>
      <c r="G10" s="3">
        <f>+L6</f>
        <v>240000</v>
      </c>
      <c r="H10" s="2" t="s">
        <v>56</v>
      </c>
      <c r="J10" s="2" t="s">
        <v>65</v>
      </c>
      <c r="K10" s="3">
        <f>6646429+938038</f>
        <v>7584467</v>
      </c>
      <c r="L10" s="3">
        <f t="shared" ref="L10" si="0">+G15</f>
        <v>0</v>
      </c>
      <c r="M10" s="2" t="s">
        <v>84</v>
      </c>
    </row>
    <row r="11" spans="1:13" ht="13.2" customHeight="1" x14ac:dyDescent="0.3">
      <c r="A11" s="45">
        <v>751</v>
      </c>
      <c r="B11" s="2" t="s">
        <v>9</v>
      </c>
      <c r="C11" s="4">
        <v>0</v>
      </c>
      <c r="D11" s="4"/>
      <c r="F11" s="2" t="s">
        <v>80</v>
      </c>
      <c r="G11" s="3">
        <f>+L7</f>
        <v>761674.49</v>
      </c>
      <c r="H11" s="2" t="s">
        <v>58</v>
      </c>
      <c r="J11" s="2" t="s">
        <v>66</v>
      </c>
      <c r="K11" s="3">
        <f>1052654.25+1330848.45+1000000</f>
        <v>3383502.7</v>
      </c>
      <c r="L11" s="2">
        <v>0</v>
      </c>
      <c r="M11" s="2" t="s">
        <v>77</v>
      </c>
    </row>
    <row r="12" spans="1:13" ht="13.2" customHeight="1" x14ac:dyDescent="0.3">
      <c r="A12" s="45">
        <v>757</v>
      </c>
      <c r="B12" s="2" t="s">
        <v>46</v>
      </c>
      <c r="C12" s="4">
        <f>(131150+100000+30000)</f>
        <v>261150</v>
      </c>
      <c r="D12" s="4"/>
      <c r="F12" s="2" t="s">
        <v>78</v>
      </c>
      <c r="G12" s="3">
        <v>650000</v>
      </c>
      <c r="H12" s="2" t="s">
        <v>63</v>
      </c>
      <c r="K12" s="53">
        <f>SUM(K5:K11)</f>
        <v>14981847.699999999</v>
      </c>
      <c r="L12" s="53">
        <f>SUM(L5:L11)</f>
        <v>1901674.49</v>
      </c>
      <c r="M12" s="53">
        <f>+D5-K12-L12</f>
        <v>-0.70000000088475645</v>
      </c>
    </row>
    <row r="13" spans="1:13" ht="13.2" customHeight="1" x14ac:dyDescent="0.3">
      <c r="A13" s="45">
        <v>758</v>
      </c>
      <c r="B13" s="2" t="s">
        <v>10</v>
      </c>
      <c r="C13" s="4">
        <v>0</v>
      </c>
      <c r="D13" s="4"/>
      <c r="F13" s="2" t="s">
        <v>81</v>
      </c>
      <c r="G13" s="3">
        <v>250000</v>
      </c>
      <c r="H13" s="2" t="s">
        <v>63</v>
      </c>
    </row>
    <row r="14" spans="1:13" ht="13.2" customHeight="1" x14ac:dyDescent="0.3">
      <c r="A14" s="45">
        <v>775</v>
      </c>
      <c r="B14" s="2" t="s">
        <v>47</v>
      </c>
      <c r="C14" s="4">
        <v>0</v>
      </c>
      <c r="D14" s="4"/>
      <c r="G14" s="3">
        <v>0</v>
      </c>
      <c r="H14" s="2" t="s">
        <v>64</v>
      </c>
    </row>
    <row r="15" spans="1:13" ht="13.2" customHeight="1" x14ac:dyDescent="0.3">
      <c r="A15" s="45">
        <v>791</v>
      </c>
      <c r="B15" s="2" t="s">
        <v>11</v>
      </c>
      <c r="C15" s="35">
        <v>0</v>
      </c>
      <c r="D15" s="4"/>
      <c r="G15" s="31"/>
    </row>
    <row r="16" spans="1:13" ht="13.2" customHeight="1" x14ac:dyDescent="0.3">
      <c r="A16" s="45"/>
      <c r="B16" s="2" t="s">
        <v>12</v>
      </c>
      <c r="C16" s="34">
        <f>-E16+G16</f>
        <v>1901674.49</v>
      </c>
      <c r="D16" s="4"/>
      <c r="E16" s="29">
        <v>0</v>
      </c>
      <c r="G16" s="33">
        <f>SUM(G10:G15)</f>
        <v>1901674.49</v>
      </c>
    </row>
    <row r="17" spans="1:13" ht="13.2" customHeight="1" x14ac:dyDescent="0.3">
      <c r="A17" s="45"/>
      <c r="C17" s="4"/>
      <c r="D17" s="4"/>
      <c r="K17" s="52" t="s">
        <v>75</v>
      </c>
      <c r="L17" s="52" t="s">
        <v>74</v>
      </c>
    </row>
    <row r="18" spans="1:13" ht="13.2" customHeight="1" x14ac:dyDescent="0.3">
      <c r="A18" s="43" t="s">
        <v>13</v>
      </c>
      <c r="B18" s="1"/>
      <c r="C18" s="4"/>
      <c r="D18" s="44">
        <f>SUM(C19:C27)</f>
        <v>12535864.579999998</v>
      </c>
      <c r="G18" s="3"/>
      <c r="H18" s="50"/>
      <c r="I18" s="51"/>
      <c r="J18" s="2" t="s">
        <v>62</v>
      </c>
      <c r="K18" s="3">
        <f>(1250606-1350-623300-280656-15400)-E21</f>
        <v>167900</v>
      </c>
      <c r="M18" s="2" t="s">
        <v>71</v>
      </c>
    </row>
    <row r="19" spans="1:13" ht="13.2" customHeight="1" x14ac:dyDescent="0.3">
      <c r="A19" s="45">
        <v>60</v>
      </c>
      <c r="B19" s="2" t="s">
        <v>14</v>
      </c>
      <c r="C19" s="4">
        <f>E21+K27</f>
        <v>12697864.579999998</v>
      </c>
      <c r="D19" s="4"/>
      <c r="H19" s="50"/>
      <c r="J19" s="2" t="s">
        <v>56</v>
      </c>
      <c r="K19" s="3">
        <f>(5219925-1185850+143866+6750-544079+177250+21000+47540-725544-14210-15000-150000)-(4003688.13-32908.05-1984847.17-32259.43-246.63)</f>
        <v>1028221.1499999997</v>
      </c>
      <c r="L19" s="3">
        <f>+G24</f>
        <v>0</v>
      </c>
      <c r="M19" s="2" t="s">
        <v>72</v>
      </c>
    </row>
    <row r="20" spans="1:13" ht="13.2" customHeight="1" x14ac:dyDescent="0.3">
      <c r="A20" s="45">
        <v>61</v>
      </c>
      <c r="B20" s="2" t="s">
        <v>15</v>
      </c>
      <c r="C20" s="4">
        <f>-E21-E22</f>
        <v>-162000</v>
      </c>
      <c r="D20" s="4"/>
      <c r="H20" s="3"/>
      <c r="J20" s="2" t="s">
        <v>58</v>
      </c>
      <c r="K20" s="3">
        <v>0</v>
      </c>
      <c r="L20" s="3">
        <f>+G25</f>
        <v>0</v>
      </c>
    </row>
    <row r="21" spans="1:13" ht="13.2" customHeight="1" x14ac:dyDescent="0.3">
      <c r="A21" s="45"/>
      <c r="B21" s="2" t="s">
        <v>16</v>
      </c>
      <c r="C21" s="4"/>
      <c r="D21" s="4"/>
      <c r="E21" s="29">
        <v>162000</v>
      </c>
      <c r="F21" s="5" t="s">
        <v>60</v>
      </c>
      <c r="H21" s="3"/>
      <c r="J21" s="2" t="s">
        <v>63</v>
      </c>
      <c r="K21" s="3">
        <f>(6516329-1385948+42214+14949-1281423+97750+456000+113575-996948-16000-8900-5000-150967)-(603335.9+493085.43+536022.46+278502.39)</f>
        <v>1484684.8199999998</v>
      </c>
      <c r="L21" s="3">
        <v>0</v>
      </c>
      <c r="M21" s="2" t="s">
        <v>82</v>
      </c>
    </row>
    <row r="22" spans="1:13" ht="13.2" customHeight="1" x14ac:dyDescent="0.3">
      <c r="A22" s="45"/>
      <c r="B22" s="5" t="s">
        <v>17</v>
      </c>
      <c r="C22" s="4"/>
      <c r="D22" s="4"/>
      <c r="E22" s="29">
        <v>0</v>
      </c>
      <c r="F22" s="5"/>
      <c r="J22" s="2" t="s">
        <v>64</v>
      </c>
      <c r="K22" s="3">
        <f>3943636-915534+9630+7857-435984+5000+34994-623613-100000-226848-314068</f>
        <v>1385070</v>
      </c>
      <c r="L22" s="3">
        <v>0</v>
      </c>
      <c r="M22" s="2" t="s">
        <v>83</v>
      </c>
    </row>
    <row r="23" spans="1:13" ht="13.2" customHeight="1" x14ac:dyDescent="0.3">
      <c r="A23" s="45">
        <v>62</v>
      </c>
      <c r="B23" s="2" t="s">
        <v>18</v>
      </c>
      <c r="C23" s="4">
        <v>0</v>
      </c>
      <c r="D23" s="4"/>
      <c r="J23" s="2" t="s">
        <v>65</v>
      </c>
      <c r="K23" s="3">
        <v>6646429</v>
      </c>
      <c r="L23" s="3">
        <f t="shared" ref="L23" si="1">+G28</f>
        <v>0</v>
      </c>
      <c r="M23" s="2" t="s">
        <v>85</v>
      </c>
    </row>
    <row r="24" spans="1:13" ht="13.2" customHeight="1" x14ac:dyDescent="0.3">
      <c r="A24" s="45"/>
      <c r="B24" s="2" t="s">
        <v>19</v>
      </c>
      <c r="C24" s="4"/>
      <c r="D24" s="4"/>
      <c r="E24" s="29">
        <f>SUM(C19:C23)</f>
        <v>12535864.579999998</v>
      </c>
      <c r="J24" s="2" t="s">
        <v>66</v>
      </c>
      <c r="K24" s="3">
        <f>1052654.25+770905.36</f>
        <v>1823559.6099999999</v>
      </c>
      <c r="L24" s="2">
        <v>0</v>
      </c>
      <c r="M24" s="2" t="s">
        <v>77</v>
      </c>
    </row>
    <row r="25" spans="1:13" ht="13.2" customHeight="1" x14ac:dyDescent="0.3">
      <c r="A25" s="45">
        <v>65</v>
      </c>
      <c r="B25" s="2" t="s">
        <v>20</v>
      </c>
      <c r="C25" s="4">
        <f>-E26</f>
        <v>0</v>
      </c>
      <c r="D25" s="4"/>
      <c r="J25" s="2" t="s">
        <v>69</v>
      </c>
      <c r="K25" s="3">
        <v>0</v>
      </c>
      <c r="L25" s="2">
        <v>0</v>
      </c>
      <c r="M25" s="2" t="s">
        <v>70</v>
      </c>
    </row>
    <row r="26" spans="1:13" ht="13.2" customHeight="1" x14ac:dyDescent="0.3">
      <c r="A26" s="45"/>
      <c r="B26" s="2" t="s">
        <v>21</v>
      </c>
      <c r="C26" s="4"/>
      <c r="D26" s="4"/>
      <c r="E26" s="29">
        <v>0</v>
      </c>
      <c r="J26" s="2" t="s">
        <v>67</v>
      </c>
      <c r="K26" s="2">
        <v>0</v>
      </c>
      <c r="L26" s="2">
        <v>0</v>
      </c>
      <c r="M26" s="2" t="s">
        <v>68</v>
      </c>
    </row>
    <row r="27" spans="1:13" ht="13.2" customHeight="1" x14ac:dyDescent="0.3">
      <c r="A27" s="45"/>
      <c r="C27" s="4"/>
      <c r="D27" s="4"/>
      <c r="K27" s="53">
        <f>SUM(K18:K26)</f>
        <v>12535864.579999998</v>
      </c>
      <c r="L27" s="53">
        <f>SUM(L18:L26)</f>
        <v>0</v>
      </c>
      <c r="M27" s="53">
        <f>+D18-K27-L27</f>
        <v>0</v>
      </c>
    </row>
    <row r="28" spans="1:13" ht="13.2" customHeight="1" x14ac:dyDescent="0.3">
      <c r="A28" s="43" t="s">
        <v>22</v>
      </c>
      <c r="C28" s="4"/>
      <c r="D28" s="46">
        <f>+D5-D18</f>
        <v>4347656.91</v>
      </c>
    </row>
    <row r="29" spans="1:13" ht="13.2" customHeight="1" x14ac:dyDescent="0.3">
      <c r="A29" s="45" t="s">
        <v>23</v>
      </c>
      <c r="C29" s="6">
        <f>+C44</f>
        <v>7.0999999999999995E-3</v>
      </c>
      <c r="D29" s="4"/>
    </row>
    <row r="30" spans="1:13" ht="13.2" customHeight="1" x14ac:dyDescent="0.3">
      <c r="A30" s="45"/>
      <c r="C30" s="7"/>
      <c r="D30" s="4"/>
    </row>
    <row r="31" spans="1:13" ht="13.2" customHeight="1" x14ac:dyDescent="0.3">
      <c r="A31" s="28" t="s">
        <v>24</v>
      </c>
      <c r="B31" s="8"/>
      <c r="C31" s="9"/>
      <c r="D31" s="30">
        <f>IF(D51&lt;=250,IF(E10&lt;G31,0,250),D51)</f>
        <v>30868.364061</v>
      </c>
      <c r="F31" s="10" t="s">
        <v>25</v>
      </c>
      <c r="G31" s="11">
        <v>500000</v>
      </c>
    </row>
    <row r="32" spans="1:13" ht="13.2" customHeight="1" x14ac:dyDescent="0.3">
      <c r="A32" s="28" t="s">
        <v>26</v>
      </c>
      <c r="B32" s="8"/>
      <c r="C32" s="12">
        <v>3.4599999999999999E-2</v>
      </c>
      <c r="D32" s="27">
        <f>+D31*C32</f>
        <v>1068.0453965105999</v>
      </c>
    </row>
    <row r="33" spans="1:7" ht="13.2" customHeight="1" x14ac:dyDescent="0.3">
      <c r="A33" s="28" t="s">
        <v>27</v>
      </c>
      <c r="B33" s="8"/>
      <c r="C33" s="13">
        <v>0.01</v>
      </c>
      <c r="D33" s="27">
        <f>SUM(D31+D32)*C33</f>
        <v>319.36409457510598</v>
      </c>
    </row>
    <row r="34" spans="1:7" ht="13.2" customHeight="1" x14ac:dyDescent="0.3">
      <c r="A34" s="47" t="s">
        <v>28</v>
      </c>
      <c r="B34" s="31"/>
      <c r="C34" s="48"/>
      <c r="D34" s="49">
        <f>SUM(D31:D33)</f>
        <v>32255.773552085706</v>
      </c>
    </row>
    <row r="35" spans="1:7" s="14" customFormat="1" ht="6" customHeight="1" x14ac:dyDescent="0.3">
      <c r="C35" s="15"/>
      <c r="D35" s="16"/>
      <c r="F35" s="2"/>
      <c r="G35" s="2"/>
    </row>
    <row r="36" spans="1:7" s="14" customFormat="1" ht="13.2" customHeight="1" x14ac:dyDescent="0.3">
      <c r="B36" s="14" t="s">
        <v>48</v>
      </c>
      <c r="C36" s="15"/>
      <c r="D36" s="16">
        <v>0</v>
      </c>
    </row>
    <row r="37" spans="1:7" s="14" customFormat="1" ht="6" customHeight="1" x14ac:dyDescent="0.3">
      <c r="C37" s="15"/>
      <c r="D37" s="16"/>
    </row>
    <row r="38" spans="1:7" s="14" customFormat="1" ht="13.2" customHeight="1" x14ac:dyDescent="0.3">
      <c r="B38" s="17" t="str">
        <f xml:space="preserve"> IF(D34&lt;0," ",IF(D36&gt;D34,"TROP PROVISIONNE DE","PROVISION A FAIRE"))</f>
        <v>PROVISION A FAIRE</v>
      </c>
      <c r="C38" s="15"/>
      <c r="D38" s="16">
        <f>IF(D34&lt;0," ",D34-D36)</f>
        <v>32255.773552085706</v>
      </c>
    </row>
    <row r="39" spans="1:7" ht="13.2" customHeight="1" x14ac:dyDescent="0.3">
      <c r="A39" s="1"/>
    </row>
    <row r="40" spans="1:7" ht="13.2" customHeight="1" x14ac:dyDescent="0.3">
      <c r="A40" s="2" t="s">
        <v>29</v>
      </c>
      <c r="B40" s="18" t="s">
        <v>30</v>
      </c>
      <c r="C40" s="19" t="s">
        <v>31</v>
      </c>
    </row>
    <row r="41" spans="1:7" ht="13.2" customHeight="1" x14ac:dyDescent="0.3">
      <c r="B41" s="18" t="s">
        <v>32</v>
      </c>
      <c r="C41" s="20">
        <v>0</v>
      </c>
    </row>
    <row r="42" spans="1:7" ht="13.2" customHeight="1" x14ac:dyDescent="0.3">
      <c r="B42" s="18" t="s">
        <v>33</v>
      </c>
      <c r="C42" s="21">
        <f>ROUND((SUM(0.25*SUM($E$10-500000))/2500000),2)/100</f>
        <v>1.4199999999999999E-2</v>
      </c>
    </row>
    <row r="43" spans="1:7" ht="13.2" customHeight="1" x14ac:dyDescent="0.3">
      <c r="B43" s="18" t="s">
        <v>34</v>
      </c>
      <c r="C43" s="21">
        <f>ROUND((SUM(SUM(0.45*SUM($E$10-3000000))/7000000)+0.25),2)/100</f>
        <v>0.01</v>
      </c>
    </row>
    <row r="44" spans="1:7" ht="13.2" customHeight="1" x14ac:dyDescent="0.3">
      <c r="B44" s="22" t="s">
        <v>35</v>
      </c>
      <c r="C44" s="23">
        <f>ROUND((SUM(SUM(0.05*SUM($E$10-10000000))/40000000)+0.7),2)/100</f>
        <v>7.0999999999999995E-3</v>
      </c>
      <c r="D44" s="24"/>
    </row>
    <row r="45" spans="1:7" ht="13.2" customHeight="1" x14ac:dyDescent="0.3">
      <c r="B45" s="18" t="s">
        <v>36</v>
      </c>
      <c r="C45" s="25">
        <f>ROUND(0.75,2)/100</f>
        <v>7.4999999999999997E-3</v>
      </c>
      <c r="D45" s="24"/>
    </row>
    <row r="46" spans="1:7" ht="6" customHeight="1" x14ac:dyDescent="0.3"/>
    <row r="47" spans="1:7" ht="13.2" customHeight="1" x14ac:dyDescent="0.3">
      <c r="A47" s="26"/>
      <c r="B47" s="26" t="s">
        <v>37</v>
      </c>
    </row>
    <row r="48" spans="1:7" ht="13.2" customHeight="1" x14ac:dyDescent="0.3">
      <c r="B48" s="18" t="s">
        <v>30</v>
      </c>
      <c r="C48" s="19" t="s">
        <v>38</v>
      </c>
      <c r="D48" s="19" t="s">
        <v>39</v>
      </c>
    </row>
    <row r="49" spans="2:5" ht="13.2" customHeight="1" x14ac:dyDescent="0.3">
      <c r="B49" s="18" t="s">
        <v>40</v>
      </c>
      <c r="C49" s="27">
        <f>IF(($C$7+$C$8+$C$9)&lt;=7600000,($C$7+$C$8+$C$9)*80%,0)</f>
        <v>0</v>
      </c>
      <c r="D49" s="27">
        <f>IF($D$28&lt;=C49,$D$28*$C$29,C49*$C$29)</f>
        <v>0</v>
      </c>
    </row>
    <row r="50" spans="2:5" ht="13.2" customHeight="1" x14ac:dyDescent="0.3">
      <c r="B50" s="18" t="s">
        <v>41</v>
      </c>
      <c r="C50" s="27">
        <f>IF(($C$7+$C$8+$C$9)&gt;7600000,($C$7+$C$8+$C$9)*85%,0)</f>
        <v>11715260.15</v>
      </c>
      <c r="D50" s="27">
        <f>IF($D$28&gt;C50,C50*$C$29,$D$28*$C$29)</f>
        <v>30868.364061</v>
      </c>
    </row>
    <row r="51" spans="2:5" ht="13.2" customHeight="1" x14ac:dyDescent="0.3">
      <c r="D51" s="30">
        <f>SUM(D49:D50)</f>
        <v>30868.364061</v>
      </c>
    </row>
    <row r="52" spans="2:5" ht="6" customHeight="1" x14ac:dyDescent="0.3"/>
    <row r="53" spans="2:5" ht="13.2" customHeight="1" x14ac:dyDescent="0.3">
      <c r="B53" s="28" t="s">
        <v>42</v>
      </c>
      <c r="C53" s="58" t="s">
        <v>24</v>
      </c>
      <c r="D53" s="59"/>
    </row>
    <row r="54" spans="2:5" ht="13.2" customHeight="1" x14ac:dyDescent="0.3">
      <c r="B54" s="28" t="s">
        <v>43</v>
      </c>
      <c r="C54" s="29"/>
      <c r="D54" s="27">
        <f>IF($E$10&lt;2000000,(IF((D49+D50)&lt;=500,0,((D49+D50)-500))),0)</f>
        <v>0</v>
      </c>
    </row>
    <row r="55" spans="2:5" ht="13.2" customHeight="1" x14ac:dyDescent="0.3">
      <c r="B55" s="28" t="s">
        <v>44</v>
      </c>
      <c r="C55" s="29"/>
      <c r="D55" s="27">
        <f>IF($E$10&gt;=2000000,(D49+D50),0)</f>
        <v>30868.364061</v>
      </c>
    </row>
    <row r="56" spans="2:5" ht="13.2" customHeight="1" x14ac:dyDescent="0.3">
      <c r="D56" s="27">
        <f>IF(SUM(D54:D55)&gt;0,SUM(D54:D55),125)</f>
        <v>30868.364061</v>
      </c>
      <c r="E56" s="2" t="str">
        <f>IF(D56=250,"Minimum"," ")</f>
        <v xml:space="preserve"> </v>
      </c>
    </row>
  </sheetData>
  <mergeCells count="1">
    <mergeCell ref="C53:D53"/>
  </mergeCells>
  <printOptions horizontalCentered="1"/>
  <pageMargins left="0" right="0" top="0.98425196850393704" bottom="0.59055118110236227" header="0.51181102362204722" footer="0.11811023622047245"/>
  <pageSetup paperSize="9" orientation="portrait" r:id="rId1"/>
  <headerFooter>
    <oddHeader>&amp;L&amp;"-,Gras"&amp;14CHIFOUMI PRODUCTIONS&amp;C&amp;"-,Gras"&amp;16CALCUL CVAE</oddHeader>
    <oddFooter xml:space="preserve">&amp;R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9C30E-E782-47D4-8BCC-DB2837222173}">
  <dimension ref="A1:I56"/>
  <sheetViews>
    <sheetView topLeftCell="A6" zoomScale="110" zoomScaleNormal="110" workbookViewId="0">
      <selection activeCell="G14" sqref="G14"/>
    </sheetView>
  </sheetViews>
  <sheetFormatPr baseColWidth="10" defaultColWidth="11.5546875" defaultRowHeight="13.2" customHeight="1" x14ac:dyDescent="0.3"/>
  <cols>
    <col min="1" max="1" width="3.6640625" style="2" customWidth="1"/>
    <col min="2" max="2" width="28.6640625" style="2" customWidth="1"/>
    <col min="3" max="4" width="9.6640625" style="3" customWidth="1"/>
    <col min="5" max="5" width="9.6640625" style="2" customWidth="1"/>
    <col min="6" max="6" width="17.33203125" style="2" bestFit="1" customWidth="1"/>
    <col min="7" max="7" width="8.6640625" style="2" customWidth="1"/>
    <col min="8" max="8" width="9.6640625" style="2" customWidth="1"/>
    <col min="9" max="16384" width="11.5546875" style="2"/>
  </cols>
  <sheetData>
    <row r="1" spans="1:9" ht="13.2" customHeight="1" x14ac:dyDescent="0.3">
      <c r="A1" s="1"/>
    </row>
    <row r="2" spans="1:9" ht="13.2" customHeight="1" x14ac:dyDescent="0.3">
      <c r="A2" s="36" t="s">
        <v>53</v>
      </c>
    </row>
    <row r="3" spans="1:9" ht="25.95" customHeight="1" x14ac:dyDescent="0.3">
      <c r="A3" s="1" t="s">
        <v>0</v>
      </c>
      <c r="C3" s="38" t="s">
        <v>1</v>
      </c>
      <c r="D3" s="39" t="s">
        <v>2</v>
      </c>
    </row>
    <row r="4" spans="1:9" ht="13.2" customHeight="1" x14ac:dyDescent="0.3">
      <c r="A4" s="40"/>
      <c r="B4" s="41"/>
      <c r="C4" s="42"/>
      <c r="D4" s="42"/>
      <c r="G4" s="32"/>
    </row>
    <row r="5" spans="1:9" ht="13.2" customHeight="1" x14ac:dyDescent="0.3">
      <c r="A5" s="43" t="s">
        <v>3</v>
      </c>
      <c r="B5" s="1"/>
      <c r="C5" s="4"/>
      <c r="D5" s="44">
        <f>SUM(C6:C17)</f>
        <v>14618627.750000002</v>
      </c>
      <c r="E5" s="3"/>
      <c r="G5" s="3"/>
      <c r="H5" s="50">
        <f>+G16+21453814.68-7225053.95-2000-48696.91-20000-12500-211.55-60049.69</f>
        <v>14618628.090000002</v>
      </c>
      <c r="I5" s="51" t="s">
        <v>54</v>
      </c>
    </row>
    <row r="6" spans="1:9" ht="13.2" customHeight="1" x14ac:dyDescent="0.3">
      <c r="A6" s="45">
        <v>706</v>
      </c>
      <c r="B6" s="2" t="s">
        <v>4</v>
      </c>
      <c r="C6" s="35"/>
      <c r="D6" s="4"/>
      <c r="E6" s="3"/>
      <c r="G6" s="3"/>
      <c r="H6" s="50">
        <f>+D5-H5</f>
        <v>-0.33999999985098839</v>
      </c>
    </row>
    <row r="7" spans="1:9" ht="13.2" customHeight="1" x14ac:dyDescent="0.3">
      <c r="A7" s="45"/>
      <c r="B7" s="2" t="s">
        <v>5</v>
      </c>
      <c r="C7" s="35">
        <f>3407000+7270389</f>
        <v>10677389</v>
      </c>
      <c r="D7" s="4"/>
    </row>
    <row r="8" spans="1:9" ht="13.2" customHeight="1" x14ac:dyDescent="0.3">
      <c r="A8" s="45"/>
      <c r="B8" s="2" t="s">
        <v>6</v>
      </c>
      <c r="C8" s="35">
        <f>4267.72+337031.16+1444163+12858.17+27437.63-60049.69</f>
        <v>1765707.9899999998</v>
      </c>
      <c r="D8" s="4"/>
    </row>
    <row r="9" spans="1:9" ht="13.2" customHeight="1" x14ac:dyDescent="0.3">
      <c r="A9" s="45">
        <v>708</v>
      </c>
      <c r="B9" s="2" t="s">
        <v>7</v>
      </c>
      <c r="C9" s="35">
        <v>110663.3</v>
      </c>
      <c r="D9" s="4"/>
    </row>
    <row r="10" spans="1:9" ht="13.2" customHeight="1" x14ac:dyDescent="0.3">
      <c r="A10" s="45"/>
      <c r="B10" s="2" t="s">
        <v>8</v>
      </c>
      <c r="C10" s="4"/>
      <c r="D10" s="4"/>
      <c r="E10" s="37">
        <f>SUM(C6:C9)+C15</f>
        <v>12564518.610000001</v>
      </c>
    </row>
    <row r="11" spans="1:9" ht="13.2" customHeight="1" x14ac:dyDescent="0.3">
      <c r="A11" s="45">
        <v>751</v>
      </c>
      <c r="B11" s="2" t="s">
        <v>9</v>
      </c>
      <c r="C11" s="4">
        <v>0</v>
      </c>
      <c r="D11" s="4"/>
      <c r="F11" s="2" t="s">
        <v>45</v>
      </c>
      <c r="G11" s="3">
        <v>15000</v>
      </c>
      <c r="H11" s="2" t="s">
        <v>50</v>
      </c>
    </row>
    <row r="12" spans="1:9" ht="13.2" customHeight="1" x14ac:dyDescent="0.3">
      <c r="A12" s="45">
        <v>757</v>
      </c>
      <c r="B12" s="2" t="s">
        <v>46</v>
      </c>
      <c r="C12" s="4">
        <v>1519606.58</v>
      </c>
      <c r="D12" s="4"/>
      <c r="F12" s="2" t="s">
        <v>49</v>
      </c>
      <c r="G12" s="3">
        <v>320000</v>
      </c>
      <c r="H12" s="2" t="s">
        <v>51</v>
      </c>
    </row>
    <row r="13" spans="1:9" ht="13.2" customHeight="1" x14ac:dyDescent="0.3">
      <c r="A13" s="45">
        <v>758</v>
      </c>
      <c r="B13" s="2" t="s">
        <v>10</v>
      </c>
      <c r="C13" s="4">
        <v>1177.05</v>
      </c>
      <c r="D13" s="4"/>
      <c r="F13" s="2" t="s">
        <v>55</v>
      </c>
      <c r="G13" s="3">
        <v>60000</v>
      </c>
      <c r="H13" s="2" t="s">
        <v>56</v>
      </c>
    </row>
    <row r="14" spans="1:9" ht="13.2" customHeight="1" x14ac:dyDescent="0.3">
      <c r="A14" s="45">
        <v>775</v>
      </c>
      <c r="B14" s="2" t="s">
        <v>47</v>
      </c>
      <c r="C14" s="4">
        <v>0</v>
      </c>
      <c r="D14" s="4"/>
      <c r="F14" s="2" t="s">
        <v>57</v>
      </c>
      <c r="G14" s="3">
        <v>138325.51</v>
      </c>
      <c r="H14" s="2" t="s">
        <v>58</v>
      </c>
    </row>
    <row r="15" spans="1:9" ht="13.2" customHeight="1" x14ac:dyDescent="0.3">
      <c r="A15" s="45">
        <v>791</v>
      </c>
      <c r="B15" s="2" t="s">
        <v>11</v>
      </c>
      <c r="C15" s="35">
        <f>5758.32+5000</f>
        <v>10758.32</v>
      </c>
      <c r="D15" s="4"/>
      <c r="G15" s="31"/>
    </row>
    <row r="16" spans="1:9" ht="13.2" customHeight="1" x14ac:dyDescent="0.3">
      <c r="A16" s="45"/>
      <c r="B16" s="2" t="s">
        <v>12</v>
      </c>
      <c r="C16" s="34">
        <f>-E16+G16</f>
        <v>533325.51</v>
      </c>
      <c r="D16" s="4"/>
      <c r="E16" s="29">
        <v>0</v>
      </c>
      <c r="G16" s="33">
        <f>SUM(G10:G15)</f>
        <v>533325.51</v>
      </c>
    </row>
    <row r="17" spans="1:9" ht="13.2" customHeight="1" x14ac:dyDescent="0.3">
      <c r="A17" s="45"/>
      <c r="C17" s="4"/>
      <c r="D17" s="4"/>
    </row>
    <row r="18" spans="1:9" ht="13.2" customHeight="1" x14ac:dyDescent="0.3">
      <c r="A18" s="43" t="s">
        <v>13</v>
      </c>
      <c r="B18" s="1"/>
      <c r="C18" s="4"/>
      <c r="D18" s="44">
        <f>SUM(C19:C27)</f>
        <v>4194372.12</v>
      </c>
      <c r="G18" s="3"/>
      <c r="H18" s="50">
        <f>-E21+23969943.36-150257.93-3372844.82-210144.93-276554.92-15699932.25+65711</f>
        <v>4194372.2099999972</v>
      </c>
      <c r="I18" s="51" t="s">
        <v>54</v>
      </c>
    </row>
    <row r="19" spans="1:9" ht="13.2" customHeight="1" x14ac:dyDescent="0.3">
      <c r="A19" s="45">
        <v>60</v>
      </c>
      <c r="B19" s="2" t="s">
        <v>14</v>
      </c>
      <c r="C19" s="4">
        <v>976250.29</v>
      </c>
      <c r="D19" s="4"/>
      <c r="H19" s="50">
        <f>+D18-H18</f>
        <v>-8.9999997057020664E-2</v>
      </c>
    </row>
    <row r="20" spans="1:9" ht="13.2" customHeight="1" x14ac:dyDescent="0.3">
      <c r="A20" s="45">
        <v>61</v>
      </c>
      <c r="B20" s="2" t="s">
        <v>15</v>
      </c>
      <c r="C20" s="4">
        <f>-E21-E22+590983.19</f>
        <v>459435.88999999996</v>
      </c>
      <c r="D20" s="4"/>
      <c r="H20" s="3"/>
    </row>
    <row r="21" spans="1:9" ht="13.2" customHeight="1" x14ac:dyDescent="0.3">
      <c r="A21" s="45"/>
      <c r="B21" s="2" t="s">
        <v>16</v>
      </c>
      <c r="C21" s="4"/>
      <c r="D21" s="4"/>
      <c r="E21" s="29">
        <f>120956.8+10590.5</f>
        <v>131547.29999999999</v>
      </c>
      <c r="F21" s="5" t="s">
        <v>52</v>
      </c>
      <c r="H21" s="3"/>
    </row>
    <row r="22" spans="1:9" ht="13.2" customHeight="1" x14ac:dyDescent="0.3">
      <c r="A22" s="45"/>
      <c r="B22" s="5" t="s">
        <v>17</v>
      </c>
      <c r="C22" s="4"/>
      <c r="D22" s="4"/>
      <c r="E22" s="29">
        <v>0</v>
      </c>
      <c r="F22" s="5"/>
    </row>
    <row r="23" spans="1:9" ht="13.2" customHeight="1" x14ac:dyDescent="0.3">
      <c r="A23" s="45">
        <v>62</v>
      </c>
      <c r="B23" s="2" t="s">
        <v>18</v>
      </c>
      <c r="C23" s="4">
        <f>1279451.46+147.01</f>
        <v>1279598.47</v>
      </c>
      <c r="D23" s="4"/>
    </row>
    <row r="24" spans="1:9" ht="13.2" customHeight="1" x14ac:dyDescent="0.3">
      <c r="A24" s="45"/>
      <c r="B24" s="2" t="s">
        <v>19</v>
      </c>
      <c r="C24" s="4"/>
      <c r="D24" s="4"/>
      <c r="E24" s="29">
        <f>SUM(C19:C23)</f>
        <v>2715284.65</v>
      </c>
    </row>
    <row r="25" spans="1:9" ht="13.2" customHeight="1" x14ac:dyDescent="0.3">
      <c r="A25" s="45">
        <v>65</v>
      </c>
      <c r="B25" s="2" t="s">
        <v>20</v>
      </c>
      <c r="C25" s="4">
        <f>-E26+1477617.46+1470.01</f>
        <v>1479087.47</v>
      </c>
      <c r="D25" s="4"/>
    </row>
    <row r="26" spans="1:9" ht="13.2" customHeight="1" x14ac:dyDescent="0.3">
      <c r="A26" s="45"/>
      <c r="B26" s="2" t="s">
        <v>21</v>
      </c>
      <c r="C26" s="4"/>
      <c r="D26" s="4"/>
      <c r="E26" s="29">
        <v>0</v>
      </c>
    </row>
    <row r="27" spans="1:9" ht="13.2" customHeight="1" x14ac:dyDescent="0.3">
      <c r="A27" s="45"/>
      <c r="C27" s="4"/>
      <c r="D27" s="4"/>
    </row>
    <row r="28" spans="1:9" ht="13.2" customHeight="1" x14ac:dyDescent="0.3">
      <c r="A28" s="43" t="s">
        <v>22</v>
      </c>
      <c r="C28" s="4"/>
      <c r="D28" s="46">
        <f>+D5-D18</f>
        <v>10424255.630000003</v>
      </c>
    </row>
    <row r="29" spans="1:9" ht="13.2" customHeight="1" x14ac:dyDescent="0.3">
      <c r="A29" s="45" t="s">
        <v>23</v>
      </c>
      <c r="C29" s="6">
        <f>+C44</f>
        <v>6.9999999999999993E-3</v>
      </c>
      <c r="D29" s="4"/>
    </row>
    <row r="30" spans="1:9" ht="13.2" customHeight="1" x14ac:dyDescent="0.3">
      <c r="A30" s="45"/>
      <c r="C30" s="7"/>
      <c r="D30" s="4"/>
    </row>
    <row r="31" spans="1:9" ht="13.2" customHeight="1" x14ac:dyDescent="0.3">
      <c r="A31" s="28" t="s">
        <v>24</v>
      </c>
      <c r="B31" s="8"/>
      <c r="C31" s="9"/>
      <c r="D31" s="30">
        <f>IF(D51&lt;=250,IF(E10&lt;G31,0,250),D51)</f>
        <v>72969.789410000012</v>
      </c>
      <c r="F31" s="10" t="s">
        <v>25</v>
      </c>
      <c r="G31" s="11">
        <v>500000</v>
      </c>
    </row>
    <row r="32" spans="1:9" ht="13.2" customHeight="1" x14ac:dyDescent="0.3">
      <c r="A32" s="28" t="s">
        <v>26</v>
      </c>
      <c r="B32" s="8"/>
      <c r="C32" s="12">
        <v>3.4599999999999999E-2</v>
      </c>
      <c r="D32" s="27">
        <f>+D31*C32</f>
        <v>2524.7547135860004</v>
      </c>
    </row>
    <row r="33" spans="1:7" ht="13.2" customHeight="1" x14ac:dyDescent="0.3">
      <c r="A33" s="28" t="s">
        <v>27</v>
      </c>
      <c r="B33" s="8"/>
      <c r="C33" s="13">
        <v>0.01</v>
      </c>
      <c r="D33" s="27">
        <f>SUM(D31+D32)*C33</f>
        <v>754.94544123586002</v>
      </c>
    </row>
    <row r="34" spans="1:7" ht="13.2" customHeight="1" x14ac:dyDescent="0.3">
      <c r="A34" s="47" t="s">
        <v>28</v>
      </c>
      <c r="B34" s="31"/>
      <c r="C34" s="48"/>
      <c r="D34" s="49">
        <f>SUM(D31:D33)</f>
        <v>76249.489564821866</v>
      </c>
    </row>
    <row r="35" spans="1:7" s="14" customFormat="1" ht="6" customHeight="1" x14ac:dyDescent="0.3">
      <c r="C35" s="15"/>
      <c r="D35" s="16"/>
      <c r="F35" s="2"/>
      <c r="G35" s="2"/>
    </row>
    <row r="36" spans="1:7" s="14" customFormat="1" ht="13.2" customHeight="1" x14ac:dyDescent="0.3">
      <c r="B36" s="14" t="s">
        <v>48</v>
      </c>
      <c r="C36" s="15"/>
      <c r="D36" s="16">
        <v>0</v>
      </c>
    </row>
    <row r="37" spans="1:7" s="14" customFormat="1" ht="6" customHeight="1" x14ac:dyDescent="0.3">
      <c r="C37" s="15"/>
      <c r="D37" s="16"/>
    </row>
    <row r="38" spans="1:7" s="14" customFormat="1" ht="13.2" customHeight="1" x14ac:dyDescent="0.3">
      <c r="B38" s="17" t="str">
        <f xml:space="preserve"> IF(D34&lt;0," ",IF(D36&gt;D34,"TROP PROVISIONNE DE","PROVISION A FAIRE"))</f>
        <v>PROVISION A FAIRE</v>
      </c>
      <c r="C38" s="15"/>
      <c r="D38" s="16">
        <f>IF(D34&lt;0," ",D34-D36)</f>
        <v>76249.489564821866</v>
      </c>
    </row>
    <row r="39" spans="1:7" ht="13.2" customHeight="1" x14ac:dyDescent="0.3">
      <c r="A39" s="1"/>
    </row>
    <row r="40" spans="1:7" ht="13.2" customHeight="1" x14ac:dyDescent="0.3">
      <c r="A40" s="2" t="s">
        <v>29</v>
      </c>
      <c r="B40" s="18" t="s">
        <v>30</v>
      </c>
      <c r="C40" s="19" t="s">
        <v>31</v>
      </c>
    </row>
    <row r="41" spans="1:7" ht="13.2" customHeight="1" x14ac:dyDescent="0.3">
      <c r="B41" s="18" t="s">
        <v>32</v>
      </c>
      <c r="C41" s="20">
        <v>0</v>
      </c>
    </row>
    <row r="42" spans="1:7" ht="13.2" customHeight="1" x14ac:dyDescent="0.3">
      <c r="B42" s="18" t="s">
        <v>33</v>
      </c>
      <c r="C42" s="21">
        <f>ROUND((SUM(0.25*SUM($E$10-500000))/2500000),2)/100</f>
        <v>1.21E-2</v>
      </c>
    </row>
    <row r="43" spans="1:7" ht="13.2" customHeight="1" x14ac:dyDescent="0.3">
      <c r="B43" s="18" t="s">
        <v>34</v>
      </c>
      <c r="C43" s="21">
        <f>ROUND((SUM(SUM(0.45*SUM($E$10-3000000))/7000000)+0.25),2)/100</f>
        <v>8.6E-3</v>
      </c>
    </row>
    <row r="44" spans="1:7" ht="13.2" customHeight="1" x14ac:dyDescent="0.3">
      <c r="B44" s="22" t="s">
        <v>35</v>
      </c>
      <c r="C44" s="23">
        <f>ROUND((SUM(SUM(0.05*SUM($E$10-10000000))/40000000)+0.7),2)/100</f>
        <v>6.9999999999999993E-3</v>
      </c>
      <c r="D44" s="24"/>
    </row>
    <row r="45" spans="1:7" ht="13.2" customHeight="1" x14ac:dyDescent="0.3">
      <c r="B45" s="18" t="s">
        <v>36</v>
      </c>
      <c r="C45" s="25">
        <f>ROUND(0.75,2)/100</f>
        <v>7.4999999999999997E-3</v>
      </c>
      <c r="D45" s="24"/>
    </row>
    <row r="46" spans="1:7" ht="6" customHeight="1" x14ac:dyDescent="0.3"/>
    <row r="47" spans="1:7" ht="13.2" customHeight="1" x14ac:dyDescent="0.3">
      <c r="A47" s="26"/>
      <c r="B47" s="26" t="s">
        <v>37</v>
      </c>
    </row>
    <row r="48" spans="1:7" ht="13.2" customHeight="1" x14ac:dyDescent="0.3">
      <c r="B48" s="18" t="s">
        <v>30</v>
      </c>
      <c r="C48" s="19" t="s">
        <v>38</v>
      </c>
      <c r="D48" s="19" t="s">
        <v>39</v>
      </c>
    </row>
    <row r="49" spans="2:5" ht="13.2" customHeight="1" x14ac:dyDescent="0.3">
      <c r="B49" s="18" t="s">
        <v>40</v>
      </c>
      <c r="C49" s="27">
        <f>IF(($C$7+$C$8+$C$9)&lt;=7600000,($C$7+$C$8+$C$9)*80%,0)</f>
        <v>0</v>
      </c>
      <c r="D49" s="27">
        <f>IF($D$28&lt;=C49,$D$28*$C$29,C49*$C$29)</f>
        <v>0</v>
      </c>
    </row>
    <row r="50" spans="2:5" ht="13.2" customHeight="1" x14ac:dyDescent="0.3">
      <c r="B50" s="18" t="s">
        <v>41</v>
      </c>
      <c r="C50" s="27">
        <f>IF(($C$7+$C$8+$C$9)&gt;7600000,($C$7+$C$8+$C$9)*85%,0)</f>
        <v>10670696.2465</v>
      </c>
      <c r="D50" s="27">
        <f>IF($D$28&gt;C50,C50*$C$29,$D$28*$C$29)</f>
        <v>72969.789410000012</v>
      </c>
    </row>
    <row r="51" spans="2:5" ht="13.2" customHeight="1" x14ac:dyDescent="0.3">
      <c r="D51" s="30">
        <f>SUM(D49:D50)</f>
        <v>72969.789410000012</v>
      </c>
    </row>
    <row r="52" spans="2:5" ht="6" customHeight="1" x14ac:dyDescent="0.3"/>
    <row r="53" spans="2:5" ht="13.2" customHeight="1" x14ac:dyDescent="0.3">
      <c r="B53" s="28" t="s">
        <v>42</v>
      </c>
      <c r="C53" s="58" t="s">
        <v>24</v>
      </c>
      <c r="D53" s="59"/>
    </row>
    <row r="54" spans="2:5" ht="13.2" customHeight="1" x14ac:dyDescent="0.3">
      <c r="B54" s="28" t="s">
        <v>43</v>
      </c>
      <c r="C54" s="29"/>
      <c r="D54" s="27">
        <f>IF($E$10&lt;2000000,(IF((D49+D50)&lt;=500,0,((D49+D50)-500))),0)</f>
        <v>0</v>
      </c>
    </row>
    <row r="55" spans="2:5" ht="13.2" customHeight="1" x14ac:dyDescent="0.3">
      <c r="B55" s="28" t="s">
        <v>44</v>
      </c>
      <c r="C55" s="29"/>
      <c r="D55" s="27">
        <f>IF($E$10&gt;=2000000,(D49+D50),0)</f>
        <v>72969.789410000012</v>
      </c>
    </row>
    <row r="56" spans="2:5" ht="13.2" customHeight="1" x14ac:dyDescent="0.3">
      <c r="D56" s="27">
        <f>IF(SUM(D54:D55)&gt;0,SUM(D54:D55),125)</f>
        <v>72969.789410000012</v>
      </c>
      <c r="E56" s="2" t="str">
        <f>IF(D56=250,"Minimum"," ")</f>
        <v xml:space="preserve"> </v>
      </c>
    </row>
  </sheetData>
  <mergeCells count="1">
    <mergeCell ref="C53:D53"/>
  </mergeCells>
  <printOptions horizontalCentered="1"/>
  <pageMargins left="0" right="0" top="0.98425196850393704" bottom="0.59055118110236227" header="0.51181102362204722" footer="0.11811023622047245"/>
  <pageSetup paperSize="9" orientation="portrait" r:id="rId1"/>
  <headerFooter>
    <oddHeader>&amp;L&amp;"-,Gras"&amp;14CHIFOUMI PRODUCTIONS&amp;C&amp;"-,Gras"&amp;16CALCUL CVAE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CVAE 31.12.2023</vt:lpstr>
      <vt:lpstr>CVAE 30.09.2023</vt:lpstr>
      <vt:lpstr>CVAE 30.06.2023</vt:lpstr>
      <vt:lpstr>CVAE 31.03.2023</vt:lpstr>
      <vt:lpstr>CVAE 2022 APRES AUDIT</vt:lpstr>
      <vt:lpstr>CVAE 2022 AVANT AUDIT</vt:lpstr>
      <vt:lpstr>CVAE 2022 ESTIMATION</vt:lpstr>
      <vt:lpstr>CVAE 2021</vt:lpstr>
      <vt:lpstr>'CVAE 2021'!Zone_d_impression</vt:lpstr>
      <vt:lpstr>'CVAE 2022 APRES AUDIT'!Zone_d_impression</vt:lpstr>
      <vt:lpstr>'CVAE 2022 AVANT AUDIT'!Zone_d_impression</vt:lpstr>
      <vt:lpstr>'CVAE 2022 ESTIMATION'!Zone_d_impression</vt:lpstr>
      <vt:lpstr>'CVAE 30.06.2023'!Zone_d_impression</vt:lpstr>
      <vt:lpstr>'CVAE 30.09.2023'!Zone_d_impression</vt:lpstr>
      <vt:lpstr>'CVAE 31.03.2023'!Zone_d_impression</vt:lpstr>
      <vt:lpstr>'CVAE 31.12.2023'!Zone_d_impression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</dc:creator>
  <cp:lastModifiedBy>Elisabeth Wittersheim</cp:lastModifiedBy>
  <cp:lastPrinted>2024-01-18T11:01:35Z</cp:lastPrinted>
  <dcterms:created xsi:type="dcterms:W3CDTF">2017-06-07T10:59:48Z</dcterms:created>
  <dcterms:modified xsi:type="dcterms:W3CDTF">2024-01-18T11:02:08Z</dcterms:modified>
</cp:coreProperties>
</file>